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25_福祉部\20_国保年金課\課内\課内キャビネット2\保険税グループ\11　保険税計算セット\HP概算表検討\"/>
    </mc:Choice>
  </mc:AlternateContent>
  <xr:revisionPtr revIDLastSave="0" documentId="8_{72753FFF-E8E0-4AB4-A9D4-EC503925B735}" xr6:coauthVersionLast="47" xr6:coauthVersionMax="47" xr10:uidLastSave="{00000000-0000-0000-0000-000000000000}"/>
  <workbookProtection workbookAlgorithmName="SHA-512" workbookHashValue="f4aja5QsPbzDP1uufZ04MT0hyhYPIuzUPUeGrp543ViaJd3A560pLT1AJ7//QRsiM1/0V79Sli/jPVAiagUZRA==" workbookSaltValue="s1/YPQm3+F8sJHROf8fcJw==" workbookSpinCount="100000" lockStructure="1"/>
  <bookViews>
    <workbookView xWindow="-100" yWindow="-100" windowWidth="21467" windowHeight="11443" xr2:uid="{00000000-000D-0000-FFFF-FFFF00000000}"/>
  </bookViews>
  <sheets>
    <sheet name="概算シート" sheetId="3" r:id="rId1"/>
    <sheet name="税率" sheetId="2" state="hidden" r:id="rId2"/>
    <sheet name="軽減説明" sheetId="7" state="hidden" r:id="rId3"/>
    <sheet name="給与年金(基礎)" sheetId="4" state="hidden" r:id="rId4"/>
    <sheet name="給与年金 (軽減)" sheetId="5" state="hidden" r:id="rId5"/>
    <sheet name="介護2号判定" sheetId="6" state="hidden" r:id="rId6"/>
  </sheets>
  <definedNames>
    <definedName name="_xlnm.Print_Area" localSheetId="0">概算シート!$A$1:$U$35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" l="1"/>
  <c r="H6" i="2"/>
  <c r="K23" i="2"/>
  <c r="C34" i="3" s="1"/>
  <c r="N14" i="5"/>
  <c r="M14" i="5"/>
  <c r="L14" i="5"/>
  <c r="K14" i="5"/>
  <c r="O14" i="5" s="1"/>
  <c r="J14" i="5"/>
  <c r="N13" i="5"/>
  <c r="M13" i="5"/>
  <c r="L13" i="5"/>
  <c r="K13" i="5"/>
  <c r="J13" i="5"/>
  <c r="O13" i="5" s="1"/>
  <c r="N12" i="5"/>
  <c r="M12" i="5"/>
  <c r="L12" i="5"/>
  <c r="K12" i="5"/>
  <c r="J12" i="5"/>
  <c r="O12" i="5" s="1"/>
  <c r="N11" i="5"/>
  <c r="M11" i="5"/>
  <c r="L11" i="5"/>
  <c r="K11" i="5"/>
  <c r="J11" i="5"/>
  <c r="O11" i="5" s="1"/>
  <c r="N10" i="5"/>
  <c r="M10" i="5"/>
  <c r="L10" i="5"/>
  <c r="K10" i="5"/>
  <c r="O10" i="5" s="1"/>
  <c r="J10" i="5"/>
  <c r="N9" i="5"/>
  <c r="M9" i="5"/>
  <c r="L9" i="5"/>
  <c r="K9" i="5"/>
  <c r="J9" i="5"/>
  <c r="O9" i="5" s="1"/>
  <c r="N8" i="5"/>
  <c r="M8" i="5"/>
  <c r="L8" i="5"/>
  <c r="K8" i="5"/>
  <c r="J8" i="5"/>
  <c r="O8" i="5" s="1"/>
  <c r="N7" i="5"/>
  <c r="M7" i="5"/>
  <c r="L7" i="5"/>
  <c r="K7" i="5"/>
  <c r="J7" i="5"/>
  <c r="O7" i="5" s="1"/>
  <c r="J10" i="4"/>
  <c r="O10" i="4" s="1"/>
  <c r="K10" i="4"/>
  <c r="L10" i="4"/>
  <c r="M10" i="4"/>
  <c r="N10" i="4"/>
  <c r="J11" i="4"/>
  <c r="O11" i="4" s="1"/>
  <c r="K11" i="4"/>
  <c r="L11" i="4"/>
  <c r="M11" i="4"/>
  <c r="N11" i="4"/>
  <c r="J12" i="4"/>
  <c r="K12" i="4"/>
  <c r="O12" i="4" s="1"/>
  <c r="L12" i="4"/>
  <c r="M12" i="4"/>
  <c r="N12" i="4"/>
  <c r="J13" i="4"/>
  <c r="K13" i="4"/>
  <c r="L13" i="4"/>
  <c r="M13" i="4"/>
  <c r="N13" i="4"/>
  <c r="O13" i="4"/>
  <c r="J14" i="4"/>
  <c r="O14" i="4" s="1"/>
  <c r="K14" i="4"/>
  <c r="L14" i="4"/>
  <c r="M14" i="4"/>
  <c r="N14" i="4"/>
  <c r="N9" i="4"/>
  <c r="M9" i="4"/>
  <c r="L9" i="4"/>
  <c r="K9" i="4"/>
  <c r="J9" i="4"/>
  <c r="O9" i="4" s="1"/>
  <c r="N8" i="4"/>
  <c r="O8" i="4" s="1"/>
  <c r="M8" i="4"/>
  <c r="L8" i="4"/>
  <c r="K8" i="4"/>
  <c r="J8" i="4"/>
  <c r="N7" i="4"/>
  <c r="M7" i="4"/>
  <c r="L7" i="4"/>
  <c r="O7" i="4" s="1"/>
  <c r="K7" i="4"/>
  <c r="J7" i="4"/>
  <c r="B1" i="3" l="1"/>
  <c r="C36" i="6" l="1"/>
  <c r="C35" i="6"/>
  <c r="H85" i="6" l="1"/>
  <c r="I85" i="6"/>
  <c r="J85" i="6"/>
  <c r="K85" i="6"/>
  <c r="L85" i="6"/>
  <c r="M85" i="6"/>
  <c r="N85" i="6"/>
  <c r="O85" i="6"/>
  <c r="P85" i="6"/>
  <c r="Q85" i="6"/>
  <c r="R85" i="6"/>
  <c r="S85" i="6"/>
  <c r="C33" i="6"/>
  <c r="C34" i="6" s="1"/>
  <c r="B62" i="2"/>
  <c r="B61" i="2"/>
  <c r="I37" i="6" l="1"/>
  <c r="Q37" i="6"/>
  <c r="N37" i="6"/>
  <c r="J37" i="6"/>
  <c r="R37" i="6"/>
  <c r="M37" i="6"/>
  <c r="O37" i="6"/>
  <c r="K37" i="6"/>
  <c r="S37" i="6"/>
  <c r="L37" i="6"/>
  <c r="H37" i="6"/>
  <c r="P37" i="6"/>
  <c r="T85" i="6"/>
  <c r="G4" i="3"/>
  <c r="H83" i="2" l="1"/>
  <c r="C73" i="2"/>
  <c r="D73" i="2"/>
  <c r="E73" i="2"/>
  <c r="F73" i="2"/>
  <c r="C74" i="2"/>
  <c r="D74" i="2"/>
  <c r="E74" i="2"/>
  <c r="F74" i="2"/>
  <c r="C75" i="2"/>
  <c r="D75" i="2"/>
  <c r="E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C79" i="2"/>
  <c r="D79" i="2"/>
  <c r="E79" i="2"/>
  <c r="F79" i="2"/>
  <c r="C80" i="2"/>
  <c r="D80" i="2"/>
  <c r="E80" i="2"/>
  <c r="F80" i="2"/>
  <c r="C81" i="2"/>
  <c r="D81" i="2"/>
  <c r="E81" i="2"/>
  <c r="F81" i="2"/>
  <c r="E72" i="2"/>
  <c r="F72" i="2"/>
  <c r="D72" i="2"/>
  <c r="C72" i="2"/>
  <c r="B72" i="2"/>
  <c r="H68" i="2" l="1"/>
  <c r="W6" i="3" l="1"/>
  <c r="C43" i="6" s="1"/>
  <c r="W7" i="3"/>
  <c r="C44" i="6" s="1"/>
  <c r="W8" i="3"/>
  <c r="C45" i="6" s="1"/>
  <c r="H72" i="2" l="1"/>
  <c r="H74" i="2"/>
  <c r="G74" i="2"/>
  <c r="G73" i="2"/>
  <c r="H73" i="2"/>
  <c r="G72" i="2"/>
  <c r="H59" i="2"/>
  <c r="H5" i="2"/>
  <c r="W9" i="3"/>
  <c r="C46" i="6" s="1"/>
  <c r="W10" i="3"/>
  <c r="C47" i="6" s="1"/>
  <c r="W11" i="3"/>
  <c r="C48" i="6" s="1"/>
  <c r="W12" i="3"/>
  <c r="C49" i="6" s="1"/>
  <c r="W13" i="3"/>
  <c r="C50" i="6" s="1"/>
  <c r="W14" i="3"/>
  <c r="C51" i="6" s="1"/>
  <c r="W15" i="3"/>
  <c r="C52" i="6" s="1"/>
  <c r="I72" i="2" l="1"/>
  <c r="N6" i="3" s="1"/>
  <c r="I74" i="2"/>
  <c r="N8" i="3" s="1"/>
  <c r="H78" i="2"/>
  <c r="G78" i="2"/>
  <c r="H76" i="2"/>
  <c r="G76" i="2"/>
  <c r="H75" i="2"/>
  <c r="G75" i="2"/>
  <c r="G77" i="2"/>
  <c r="H77" i="2"/>
  <c r="H81" i="2"/>
  <c r="G81" i="2"/>
  <c r="H80" i="2"/>
  <c r="G80" i="2"/>
  <c r="H79" i="2"/>
  <c r="G79" i="2"/>
  <c r="I73" i="2"/>
  <c r="N7" i="3" s="1"/>
  <c r="I75" i="2" l="1"/>
  <c r="N9" i="3" s="1"/>
  <c r="D57" i="2" s="1"/>
  <c r="B13" i="2"/>
  <c r="B15" i="2"/>
  <c r="I77" i="2"/>
  <c r="N11" i="3" s="1"/>
  <c r="I79" i="2"/>
  <c r="N13" i="3" s="1"/>
  <c r="I80" i="2"/>
  <c r="N14" i="3" s="1"/>
  <c r="I76" i="2"/>
  <c r="N10" i="3" s="1"/>
  <c r="I81" i="2"/>
  <c r="N15" i="3" s="1"/>
  <c r="I78" i="2"/>
  <c r="N12" i="3" s="1"/>
  <c r="B14" i="2"/>
  <c r="H4" i="2"/>
  <c r="H3" i="2"/>
  <c r="B45" i="2"/>
  <c r="B46" i="2"/>
  <c r="B47" i="2"/>
  <c r="B48" i="2"/>
  <c r="B49" i="2"/>
  <c r="B50" i="2"/>
  <c r="B51" i="2"/>
  <c r="B52" i="2"/>
  <c r="B53" i="2"/>
  <c r="G2" i="6"/>
  <c r="G18" i="6" s="1"/>
  <c r="C15" i="2" l="1"/>
  <c r="E45" i="6" s="1"/>
  <c r="D15" i="2"/>
  <c r="F13" i="2"/>
  <c r="B16" i="2"/>
  <c r="C13" i="2"/>
  <c r="D13" i="2" s="1"/>
  <c r="H65" i="2"/>
  <c r="B20" i="2"/>
  <c r="C51" i="2"/>
  <c r="BP12" i="5" s="1"/>
  <c r="B18" i="2"/>
  <c r="F14" i="2"/>
  <c r="C14" i="2"/>
  <c r="D14" i="2" s="1"/>
  <c r="B21" i="2"/>
  <c r="B17" i="2"/>
  <c r="B19" i="2"/>
  <c r="B22" i="2"/>
  <c r="C52" i="2"/>
  <c r="BP13" i="5" s="1"/>
  <c r="C47" i="2"/>
  <c r="BP8" i="5" s="1"/>
  <c r="C48" i="2"/>
  <c r="BP9" i="5" s="1"/>
  <c r="C46" i="2"/>
  <c r="BP7" i="5" s="1"/>
  <c r="C53" i="2"/>
  <c r="BP14" i="4" s="1"/>
  <c r="C45" i="2"/>
  <c r="BP6" i="5" s="1"/>
  <c r="C50" i="2"/>
  <c r="BP11" i="4" s="1"/>
  <c r="C49" i="2"/>
  <c r="BP10" i="4" s="1"/>
  <c r="G17" i="6"/>
  <c r="G21" i="6"/>
  <c r="G28" i="6"/>
  <c r="G20" i="6"/>
  <c r="G27" i="6"/>
  <c r="G23" i="6"/>
  <c r="G19" i="6"/>
  <c r="G25" i="6"/>
  <c r="G24" i="6"/>
  <c r="G26" i="6"/>
  <c r="G22" i="6"/>
  <c r="G15" i="6"/>
  <c r="G9" i="6"/>
  <c r="G6" i="6"/>
  <c r="G13" i="6"/>
  <c r="G14" i="6"/>
  <c r="G5" i="6"/>
  <c r="G10" i="6"/>
  <c r="G12" i="6"/>
  <c r="G8" i="6"/>
  <c r="G16" i="6"/>
  <c r="G11" i="6"/>
  <c r="G7" i="6"/>
  <c r="B2" i="6"/>
  <c r="F15" i="2" l="1"/>
  <c r="C17" i="2"/>
  <c r="E47" i="6" s="1"/>
  <c r="D17" i="2"/>
  <c r="C19" i="2"/>
  <c r="E49" i="6" s="1"/>
  <c r="D19" i="2"/>
  <c r="C21" i="2"/>
  <c r="E51" i="6" s="1"/>
  <c r="D21" i="2"/>
  <c r="C16" i="2"/>
  <c r="E46" i="6" s="1"/>
  <c r="F46" i="6" s="1"/>
  <c r="D16" i="2"/>
  <c r="C18" i="2"/>
  <c r="E48" i="6" s="1"/>
  <c r="D18" i="2"/>
  <c r="C22" i="2"/>
  <c r="E52" i="6" s="1"/>
  <c r="D22" i="2"/>
  <c r="C20" i="2"/>
  <c r="E50" i="6" s="1"/>
  <c r="D20" i="2"/>
  <c r="F16" i="2"/>
  <c r="E44" i="6"/>
  <c r="E43" i="6"/>
  <c r="BP12" i="4"/>
  <c r="F20" i="2"/>
  <c r="F18" i="2"/>
  <c r="F19" i="2"/>
  <c r="F22" i="2"/>
  <c r="F17" i="2"/>
  <c r="F21" i="2"/>
  <c r="BP13" i="4"/>
  <c r="BP8" i="4"/>
  <c r="BP11" i="5"/>
  <c r="BP9" i="4"/>
  <c r="BP6" i="4"/>
  <c r="BP7" i="4"/>
  <c r="BP10" i="5"/>
  <c r="BP14" i="5"/>
  <c r="E15" i="6"/>
  <c r="C27" i="6"/>
  <c r="C28" i="6"/>
  <c r="C29" i="6" s="1"/>
  <c r="C20" i="6"/>
  <c r="C25" i="6"/>
  <c r="C21" i="6"/>
  <c r="C9" i="6"/>
  <c r="C17" i="6"/>
  <c r="E22" i="6"/>
  <c r="C12" i="6"/>
  <c r="E6" i="6"/>
  <c r="E26" i="6"/>
  <c r="E18" i="6"/>
  <c r="C24" i="6"/>
  <c r="C5" i="6"/>
  <c r="E14" i="6"/>
  <c r="C18" i="6"/>
  <c r="E20" i="6"/>
  <c r="C23" i="6"/>
  <c r="C26" i="6"/>
  <c r="E28" i="6"/>
  <c r="C7" i="6"/>
  <c r="C10" i="6"/>
  <c r="E12" i="6"/>
  <c r="C15" i="6"/>
  <c r="C8" i="6"/>
  <c r="E10" i="6"/>
  <c r="C13" i="6"/>
  <c r="C16" i="6"/>
  <c r="C19" i="6"/>
  <c r="C22" i="6"/>
  <c r="E24" i="6"/>
  <c r="C6" i="6"/>
  <c r="E8" i="6"/>
  <c r="C11" i="6"/>
  <c r="C14" i="6"/>
  <c r="E16" i="6"/>
  <c r="E17" i="6"/>
  <c r="E19" i="6"/>
  <c r="E21" i="6"/>
  <c r="E23" i="6"/>
  <c r="E25" i="6"/>
  <c r="E27" i="6"/>
  <c r="E5" i="6"/>
  <c r="E7" i="6"/>
  <c r="E9" i="6"/>
  <c r="E11" i="6"/>
  <c r="E13" i="6"/>
  <c r="B14" i="5"/>
  <c r="AK13" i="5"/>
  <c r="B13" i="5"/>
  <c r="B12" i="5"/>
  <c r="AK11" i="5"/>
  <c r="BD11" i="5"/>
  <c r="B11" i="5"/>
  <c r="B10" i="5"/>
  <c r="B9" i="5"/>
  <c r="B8" i="5"/>
  <c r="B7" i="5"/>
  <c r="B6" i="5"/>
  <c r="B5" i="5"/>
  <c r="D23" i="2" l="1"/>
  <c r="O14" i="2" s="1"/>
  <c r="N5" i="5"/>
  <c r="M5" i="5"/>
  <c r="K5" i="5"/>
  <c r="L5" i="5"/>
  <c r="J5" i="5"/>
  <c r="O5" i="5" s="1"/>
  <c r="N6" i="5"/>
  <c r="L6" i="5"/>
  <c r="K6" i="5"/>
  <c r="M6" i="5"/>
  <c r="J6" i="5"/>
  <c r="F45" i="6"/>
  <c r="J46" i="6"/>
  <c r="R46" i="6"/>
  <c r="F48" i="6"/>
  <c r="F51" i="6"/>
  <c r="F44" i="6"/>
  <c r="F50" i="6"/>
  <c r="F43" i="6"/>
  <c r="F47" i="6"/>
  <c r="F49" i="6"/>
  <c r="F52" i="6"/>
  <c r="G51" i="6"/>
  <c r="G49" i="6"/>
  <c r="G45" i="6"/>
  <c r="G50" i="6"/>
  <c r="G48" i="6"/>
  <c r="G52" i="6"/>
  <c r="G47" i="6"/>
  <c r="G46" i="6"/>
  <c r="S46" i="6" s="1"/>
  <c r="G44" i="6"/>
  <c r="G43" i="6"/>
  <c r="F23" i="2"/>
  <c r="I19" i="2" s="1"/>
  <c r="C23" i="2"/>
  <c r="N14" i="2" s="1"/>
  <c r="AQ13" i="5"/>
  <c r="AQ11" i="5"/>
  <c r="AZ13" i="5"/>
  <c r="X11" i="5"/>
  <c r="AZ11" i="5"/>
  <c r="AG13" i="5"/>
  <c r="BD13" i="5"/>
  <c r="X13" i="5"/>
  <c r="AG11" i="5"/>
  <c r="AA11" i="5"/>
  <c r="AT11" i="5"/>
  <c r="AA13" i="5"/>
  <c r="AT13" i="5"/>
  <c r="BG11" i="5"/>
  <c r="BC11" i="5"/>
  <c r="AX11" i="5"/>
  <c r="AS11" i="5"/>
  <c r="AJ11" i="5"/>
  <c r="AE11" i="5"/>
  <c r="Z11" i="5"/>
  <c r="BF11" i="5"/>
  <c r="BA11" i="5"/>
  <c r="AW11" i="5"/>
  <c r="AR11" i="5"/>
  <c r="AM11" i="5"/>
  <c r="AI11" i="5"/>
  <c r="AD11" i="5"/>
  <c r="Y11" i="5"/>
  <c r="AC11" i="5"/>
  <c r="AL11" i="5"/>
  <c r="AU11" i="5"/>
  <c r="BE11" i="5"/>
  <c r="BG13" i="5"/>
  <c r="BC13" i="5"/>
  <c r="AX13" i="5"/>
  <c r="AS13" i="5"/>
  <c r="AJ13" i="5"/>
  <c r="AE13" i="5"/>
  <c r="Z13" i="5"/>
  <c r="BF13" i="5"/>
  <c r="BA13" i="5"/>
  <c r="AW13" i="5"/>
  <c r="AR13" i="5"/>
  <c r="AM13" i="5"/>
  <c r="AI13" i="5"/>
  <c r="AD13" i="5"/>
  <c r="Y13" i="5"/>
  <c r="AC13" i="5"/>
  <c r="AL13" i="5"/>
  <c r="AU13" i="5"/>
  <c r="BE13" i="5"/>
  <c r="W11" i="5"/>
  <c r="AF11" i="5"/>
  <c r="AY11" i="5"/>
  <c r="W13" i="5"/>
  <c r="AF13" i="5"/>
  <c r="AY13" i="5"/>
  <c r="B44" i="2"/>
  <c r="C44" i="2" s="1"/>
  <c r="R6" i="4"/>
  <c r="R7" i="4"/>
  <c r="R8" i="4"/>
  <c r="R9" i="4"/>
  <c r="R10" i="4"/>
  <c r="R11" i="4"/>
  <c r="R12" i="4"/>
  <c r="R13" i="4"/>
  <c r="R14" i="4"/>
  <c r="R5" i="4"/>
  <c r="B6" i="4"/>
  <c r="B7" i="4"/>
  <c r="B8" i="4"/>
  <c r="B9" i="4"/>
  <c r="B10" i="4"/>
  <c r="B11" i="4"/>
  <c r="B12" i="4"/>
  <c r="B13" i="4"/>
  <c r="B14" i="4"/>
  <c r="B5" i="4"/>
  <c r="N15" i="2" l="1"/>
  <c r="M14" i="2"/>
  <c r="B34" i="3"/>
  <c r="N5" i="4"/>
  <c r="M5" i="4"/>
  <c r="L5" i="4"/>
  <c r="J5" i="4"/>
  <c r="K5" i="4"/>
  <c r="K6" i="4"/>
  <c r="N6" i="4"/>
  <c r="M6" i="4"/>
  <c r="L6" i="4"/>
  <c r="J6" i="4"/>
  <c r="O6" i="5"/>
  <c r="C10" i="5"/>
  <c r="C7" i="5"/>
  <c r="C11" i="5"/>
  <c r="C14" i="5"/>
  <c r="BK14" i="5" s="1"/>
  <c r="C9" i="5"/>
  <c r="BK9" i="5" s="1"/>
  <c r="C13" i="5"/>
  <c r="C12" i="5"/>
  <c r="BK12" i="5" s="1"/>
  <c r="C8" i="5"/>
  <c r="BK8" i="5" s="1"/>
  <c r="C6" i="5"/>
  <c r="K46" i="6"/>
  <c r="O46" i="6"/>
  <c r="Q46" i="6"/>
  <c r="N46" i="6"/>
  <c r="I46" i="6"/>
  <c r="M46" i="6"/>
  <c r="P46" i="6"/>
  <c r="L46" i="6"/>
  <c r="H46" i="6"/>
  <c r="K43" i="6"/>
  <c r="L45" i="6"/>
  <c r="P45" i="6"/>
  <c r="H45" i="6"/>
  <c r="O45" i="6"/>
  <c r="J45" i="6"/>
  <c r="S45" i="6"/>
  <c r="R45" i="6"/>
  <c r="K45" i="6"/>
  <c r="N45" i="6"/>
  <c r="Q45" i="6"/>
  <c r="M45" i="6"/>
  <c r="I45" i="6"/>
  <c r="H44" i="6"/>
  <c r="P44" i="6"/>
  <c r="I44" i="6"/>
  <c r="Q44" i="6"/>
  <c r="J44" i="6"/>
  <c r="R44" i="6"/>
  <c r="K44" i="6"/>
  <c r="S44" i="6"/>
  <c r="L44" i="6"/>
  <c r="N44" i="6"/>
  <c r="M44" i="6"/>
  <c r="O44" i="6"/>
  <c r="L51" i="6"/>
  <c r="L64" i="6" s="1"/>
  <c r="M51" i="6"/>
  <c r="M64" i="6" s="1"/>
  <c r="N51" i="6"/>
  <c r="N64" i="6" s="1"/>
  <c r="P51" i="6"/>
  <c r="P64" i="6" s="1"/>
  <c r="I51" i="6"/>
  <c r="I64" i="6" s="1"/>
  <c r="O51" i="6"/>
  <c r="O64" i="6" s="1"/>
  <c r="H51" i="6"/>
  <c r="H64" i="6" s="1"/>
  <c r="Q51" i="6"/>
  <c r="R51" i="6"/>
  <c r="J51" i="6"/>
  <c r="J64" i="6" s="1"/>
  <c r="K51" i="6"/>
  <c r="K64" i="6" s="1"/>
  <c r="S51" i="6"/>
  <c r="H50" i="6"/>
  <c r="P50" i="6"/>
  <c r="I50" i="6"/>
  <c r="Q50" i="6"/>
  <c r="J50" i="6"/>
  <c r="R50" i="6"/>
  <c r="K50" i="6"/>
  <c r="S50" i="6"/>
  <c r="L50" i="6"/>
  <c r="N50" i="6"/>
  <c r="M50" i="6"/>
  <c r="O50" i="6"/>
  <c r="H48" i="6"/>
  <c r="P48" i="6"/>
  <c r="I48" i="6"/>
  <c r="Q48" i="6"/>
  <c r="J48" i="6"/>
  <c r="R48" i="6"/>
  <c r="K48" i="6"/>
  <c r="S48" i="6"/>
  <c r="N48" i="6"/>
  <c r="L48" i="6"/>
  <c r="M48" i="6"/>
  <c r="O48" i="6"/>
  <c r="H52" i="6"/>
  <c r="H65" i="6" s="1"/>
  <c r="P52" i="6"/>
  <c r="P65" i="6" s="1"/>
  <c r="I52" i="6"/>
  <c r="I65" i="6" s="1"/>
  <c r="Q52" i="6"/>
  <c r="Q65" i="6" s="1"/>
  <c r="J52" i="6"/>
  <c r="J65" i="6" s="1"/>
  <c r="R52" i="6"/>
  <c r="R65" i="6" s="1"/>
  <c r="K52" i="6"/>
  <c r="K65" i="6" s="1"/>
  <c r="S52" i="6"/>
  <c r="S65" i="6" s="1"/>
  <c r="L52" i="6"/>
  <c r="L65" i="6" s="1"/>
  <c r="M52" i="6"/>
  <c r="M65" i="6" s="1"/>
  <c r="N52" i="6"/>
  <c r="N65" i="6" s="1"/>
  <c r="O52" i="6"/>
  <c r="O65" i="6" s="1"/>
  <c r="L49" i="6"/>
  <c r="M49" i="6"/>
  <c r="N49" i="6"/>
  <c r="P49" i="6"/>
  <c r="R49" i="6"/>
  <c r="O49" i="6"/>
  <c r="H49" i="6"/>
  <c r="I49" i="6"/>
  <c r="Q49" i="6"/>
  <c r="J49" i="6"/>
  <c r="K49" i="6"/>
  <c r="S49" i="6"/>
  <c r="L47" i="6"/>
  <c r="M47" i="6"/>
  <c r="N47" i="6"/>
  <c r="R47" i="6"/>
  <c r="O47" i="6"/>
  <c r="H47" i="6"/>
  <c r="P47" i="6"/>
  <c r="J47" i="6"/>
  <c r="I47" i="6"/>
  <c r="Q47" i="6"/>
  <c r="K47" i="6"/>
  <c r="S47" i="6"/>
  <c r="H43" i="6"/>
  <c r="O43" i="6"/>
  <c r="P43" i="6"/>
  <c r="I43" i="6"/>
  <c r="Q43" i="6"/>
  <c r="J43" i="6"/>
  <c r="R43" i="6"/>
  <c r="S43" i="6"/>
  <c r="L43" i="6"/>
  <c r="M43" i="6"/>
  <c r="N43" i="6"/>
  <c r="I13" i="2"/>
  <c r="BP5" i="4"/>
  <c r="BP5" i="5"/>
  <c r="BK13" i="5"/>
  <c r="BK10" i="5"/>
  <c r="BK11" i="5"/>
  <c r="BH13" i="5"/>
  <c r="BH11" i="5"/>
  <c r="AN11" i="5"/>
  <c r="BF7" i="5"/>
  <c r="BA7" i="5"/>
  <c r="AW7" i="5"/>
  <c r="AR7" i="5"/>
  <c r="AM7" i="5"/>
  <c r="AI7" i="5"/>
  <c r="AD7" i="5"/>
  <c r="Y7" i="5"/>
  <c r="BE7" i="5"/>
  <c r="AZ7" i="5"/>
  <c r="AU7" i="5"/>
  <c r="AQ7" i="5"/>
  <c r="AL7" i="5"/>
  <c r="AG7" i="5"/>
  <c r="AC7" i="5"/>
  <c r="X7" i="5"/>
  <c r="BD7" i="5"/>
  <c r="AT7" i="5"/>
  <c r="AK7" i="5"/>
  <c r="AA7" i="5"/>
  <c r="BC7" i="5"/>
  <c r="AS7" i="5"/>
  <c r="AJ7" i="5"/>
  <c r="Z7" i="5"/>
  <c r="BG7" i="5"/>
  <c r="AY7" i="5"/>
  <c r="AF7" i="5"/>
  <c r="W7" i="5"/>
  <c r="AX7" i="5"/>
  <c r="AE7" i="5"/>
  <c r="C5" i="5"/>
  <c r="BG9" i="5"/>
  <c r="BC9" i="5"/>
  <c r="AX9" i="5"/>
  <c r="AS9" i="5"/>
  <c r="BF9" i="5"/>
  <c r="BA9" i="5"/>
  <c r="AY9" i="5"/>
  <c r="AR9" i="5"/>
  <c r="AM9" i="5"/>
  <c r="AI9" i="5"/>
  <c r="AD9" i="5"/>
  <c r="Y9" i="5"/>
  <c r="BE9" i="5"/>
  <c r="AW9" i="5"/>
  <c r="AQ9" i="5"/>
  <c r="AL9" i="5"/>
  <c r="AG9" i="5"/>
  <c r="AC9" i="5"/>
  <c r="X9" i="5"/>
  <c r="BD9" i="5"/>
  <c r="AU9" i="5"/>
  <c r="AK9" i="5"/>
  <c r="AF9" i="5"/>
  <c r="Z9" i="5"/>
  <c r="AJ9" i="5"/>
  <c r="W9" i="5"/>
  <c r="AZ9" i="5"/>
  <c r="AE9" i="5"/>
  <c r="AT9" i="5"/>
  <c r="AA9" i="5"/>
  <c r="AN13" i="5"/>
  <c r="BE12" i="5"/>
  <c r="AZ12" i="5"/>
  <c r="AU12" i="5"/>
  <c r="AQ12" i="5"/>
  <c r="AL12" i="5"/>
  <c r="AG12" i="5"/>
  <c r="AC12" i="5"/>
  <c r="X12" i="5"/>
  <c r="BD12" i="5"/>
  <c r="AY12" i="5"/>
  <c r="AT12" i="5"/>
  <c r="AK12" i="5"/>
  <c r="AF12" i="5"/>
  <c r="AA12" i="5"/>
  <c r="W12" i="5"/>
  <c r="BC12" i="5"/>
  <c r="AS12" i="5"/>
  <c r="AJ12" i="5"/>
  <c r="Z12" i="5"/>
  <c r="BA12" i="5"/>
  <c r="AR12" i="5"/>
  <c r="AI12" i="5"/>
  <c r="Y12" i="5"/>
  <c r="BG12" i="5"/>
  <c r="AX12" i="5"/>
  <c r="AE12" i="5"/>
  <c r="AD12" i="5"/>
  <c r="BF12" i="5"/>
  <c r="AW12" i="5"/>
  <c r="AM12" i="5"/>
  <c r="BE14" i="5"/>
  <c r="AZ14" i="5"/>
  <c r="AU14" i="5"/>
  <c r="AQ14" i="5"/>
  <c r="AL14" i="5"/>
  <c r="AG14" i="5"/>
  <c r="AC14" i="5"/>
  <c r="X14" i="5"/>
  <c r="BD14" i="5"/>
  <c r="AY14" i="5"/>
  <c r="AT14" i="5"/>
  <c r="AK14" i="5"/>
  <c r="AF14" i="5"/>
  <c r="AA14" i="5"/>
  <c r="W14" i="5"/>
  <c r="BC14" i="5"/>
  <c r="AS14" i="5"/>
  <c r="AJ14" i="5"/>
  <c r="Z14" i="5"/>
  <c r="BA14" i="5"/>
  <c r="AR14" i="5"/>
  <c r="AI14" i="5"/>
  <c r="Y14" i="5"/>
  <c r="BG14" i="5"/>
  <c r="AX14" i="5"/>
  <c r="AE14" i="5"/>
  <c r="AW14" i="5"/>
  <c r="AM14" i="5"/>
  <c r="AD14" i="5"/>
  <c r="BF14" i="5"/>
  <c r="BE10" i="5"/>
  <c r="AZ10" i="5"/>
  <c r="AU10" i="5"/>
  <c r="AQ10" i="5"/>
  <c r="AL10" i="5"/>
  <c r="AG10" i="5"/>
  <c r="AC10" i="5"/>
  <c r="X10" i="5"/>
  <c r="BD10" i="5"/>
  <c r="AY10" i="5"/>
  <c r="AT10" i="5"/>
  <c r="AK10" i="5"/>
  <c r="AF10" i="5"/>
  <c r="AA10" i="5"/>
  <c r="W10" i="5"/>
  <c r="BC10" i="5"/>
  <c r="AS10" i="5"/>
  <c r="AJ10" i="5"/>
  <c r="Z10" i="5"/>
  <c r="BA10" i="5"/>
  <c r="AR10" i="5"/>
  <c r="AI10" i="5"/>
  <c r="Y10" i="5"/>
  <c r="BG10" i="5"/>
  <c r="AX10" i="5"/>
  <c r="AE10" i="5"/>
  <c r="AW10" i="5"/>
  <c r="AM10" i="5"/>
  <c r="AD10" i="5"/>
  <c r="BF10" i="5"/>
  <c r="AO7" i="4"/>
  <c r="AO9" i="4"/>
  <c r="U11" i="4"/>
  <c r="BR11" i="4" s="1"/>
  <c r="AO10" i="4"/>
  <c r="AO12" i="4"/>
  <c r="AO14" i="4"/>
  <c r="U10" i="4"/>
  <c r="BR10" i="4" s="1"/>
  <c r="U12" i="4"/>
  <c r="BR12" i="4" s="1"/>
  <c r="U14" i="4"/>
  <c r="BR14" i="4" s="1"/>
  <c r="AO8" i="4"/>
  <c r="U8" i="4"/>
  <c r="BR8" i="4" s="1"/>
  <c r="M15" i="2" l="1"/>
  <c r="O6" i="4"/>
  <c r="O5" i="4"/>
  <c r="C14" i="4"/>
  <c r="C12" i="4"/>
  <c r="C10" i="4"/>
  <c r="S10" i="4" s="1"/>
  <c r="T10" i="4" s="1"/>
  <c r="C9" i="4"/>
  <c r="C13" i="4"/>
  <c r="K69" i="6"/>
  <c r="K70" i="6" s="1"/>
  <c r="L69" i="6"/>
  <c r="J69" i="6"/>
  <c r="M69" i="6"/>
  <c r="S69" i="6"/>
  <c r="R69" i="6"/>
  <c r="Q69" i="6"/>
  <c r="N69" i="6"/>
  <c r="I69" i="6"/>
  <c r="P69" i="6"/>
  <c r="O69" i="6"/>
  <c r="H69" i="6"/>
  <c r="H71" i="6" s="1"/>
  <c r="BK7" i="5"/>
  <c r="BK6" i="5"/>
  <c r="J11" i="3"/>
  <c r="D49" i="2"/>
  <c r="J13" i="3"/>
  <c r="D51" i="2"/>
  <c r="J12" i="3"/>
  <c r="D50" i="2"/>
  <c r="J9" i="3"/>
  <c r="D47" i="2"/>
  <c r="J15" i="3"/>
  <c r="D53" i="2"/>
  <c r="BK14" i="4"/>
  <c r="BL14" i="4" s="1"/>
  <c r="BQ14" i="4" s="1"/>
  <c r="BM14" i="4"/>
  <c r="BN14" i="4" s="1"/>
  <c r="BK12" i="4"/>
  <c r="BL12" i="4" s="1"/>
  <c r="BQ12" i="4" s="1"/>
  <c r="BM12" i="4"/>
  <c r="BN12" i="4" s="1"/>
  <c r="BH14" i="5"/>
  <c r="BH10" i="5"/>
  <c r="BH12" i="5"/>
  <c r="BH9" i="5"/>
  <c r="BD8" i="5"/>
  <c r="AY8" i="5"/>
  <c r="AT8" i="5"/>
  <c r="AK8" i="5"/>
  <c r="AF8" i="5"/>
  <c r="AA8" i="5"/>
  <c r="W8" i="5"/>
  <c r="BG8" i="5"/>
  <c r="BC8" i="5"/>
  <c r="AX8" i="5"/>
  <c r="AS8" i="5"/>
  <c r="AJ8" i="5"/>
  <c r="AE8" i="5"/>
  <c r="Z8" i="5"/>
  <c r="BE8" i="5"/>
  <c r="AU8" i="5"/>
  <c r="AL8" i="5"/>
  <c r="AC8" i="5"/>
  <c r="BA8" i="5"/>
  <c r="AR8" i="5"/>
  <c r="AI8" i="5"/>
  <c r="Y8" i="5"/>
  <c r="BF8" i="5"/>
  <c r="AW8" i="5"/>
  <c r="AD8" i="5"/>
  <c r="AZ8" i="5"/>
  <c r="AQ8" i="5"/>
  <c r="AG8" i="5"/>
  <c r="X8" i="5"/>
  <c r="AM8" i="5"/>
  <c r="AN10" i="5"/>
  <c r="AN12" i="5"/>
  <c r="AN9" i="5"/>
  <c r="AN7" i="5"/>
  <c r="BH7" i="5"/>
  <c r="BD6" i="5"/>
  <c r="AY6" i="5"/>
  <c r="AT6" i="5"/>
  <c r="AK6" i="5"/>
  <c r="AF6" i="5"/>
  <c r="AA6" i="5"/>
  <c r="W6" i="5"/>
  <c r="BG6" i="5"/>
  <c r="BC6" i="5"/>
  <c r="AX6" i="5"/>
  <c r="AS6" i="5"/>
  <c r="AJ6" i="5"/>
  <c r="AE6" i="5"/>
  <c r="Z6" i="5"/>
  <c r="BF6" i="5"/>
  <c r="AW6" i="5"/>
  <c r="AM6" i="5"/>
  <c r="AD6" i="5"/>
  <c r="AZ6" i="5"/>
  <c r="X6" i="5"/>
  <c r="BE6" i="5"/>
  <c r="AU6" i="5"/>
  <c r="AL6" i="5"/>
  <c r="AC6" i="5"/>
  <c r="AQ6" i="5"/>
  <c r="BA6" i="5"/>
  <c r="AR6" i="5"/>
  <c r="AI6" i="5"/>
  <c r="Y6" i="5"/>
  <c r="AG6" i="5"/>
  <c r="AN14" i="5"/>
  <c r="BK5" i="5"/>
  <c r="S14" i="4"/>
  <c r="T14" i="4" s="1"/>
  <c r="S12" i="4"/>
  <c r="T12" i="4" s="1"/>
  <c r="C11" i="4"/>
  <c r="C8" i="4"/>
  <c r="U13" i="4"/>
  <c r="AO11" i="4"/>
  <c r="U7" i="4"/>
  <c r="U9" i="4"/>
  <c r="AO13" i="4"/>
  <c r="C6" i="4"/>
  <c r="N21" i="2"/>
  <c r="M21" i="2"/>
  <c r="BM10" i="4" l="1"/>
  <c r="BN10" i="4" s="1"/>
  <c r="BK10" i="4"/>
  <c r="BL10" i="4" s="1"/>
  <c r="BQ10" i="4" s="1"/>
  <c r="H11" i="3" s="1"/>
  <c r="K71" i="6"/>
  <c r="P70" i="6"/>
  <c r="P71" i="6"/>
  <c r="I70" i="6"/>
  <c r="I71" i="6"/>
  <c r="N70" i="6"/>
  <c r="N71" i="6"/>
  <c r="M70" i="6"/>
  <c r="M71" i="6"/>
  <c r="J70" i="6"/>
  <c r="J71" i="6"/>
  <c r="Q70" i="6"/>
  <c r="Q71" i="6"/>
  <c r="L70" i="6"/>
  <c r="L71" i="6"/>
  <c r="S70" i="6"/>
  <c r="S71" i="6"/>
  <c r="O70" i="6"/>
  <c r="O71" i="6"/>
  <c r="R70" i="6"/>
  <c r="R71" i="6"/>
  <c r="H70" i="6"/>
  <c r="AO14" i="5"/>
  <c r="AO11" i="5"/>
  <c r="AO10" i="5"/>
  <c r="AO8" i="5"/>
  <c r="AO12" i="5"/>
  <c r="BR7" i="4"/>
  <c r="D46" i="2" s="1"/>
  <c r="BR13" i="4"/>
  <c r="D52" i="2" s="1"/>
  <c r="BR9" i="4"/>
  <c r="D48" i="2" s="1"/>
  <c r="AR12" i="4"/>
  <c r="AW12" i="4"/>
  <c r="BA12" i="4"/>
  <c r="BF12" i="4"/>
  <c r="W12" i="4"/>
  <c r="AA12" i="4"/>
  <c r="AF12" i="4"/>
  <c r="AK12" i="4"/>
  <c r="AS12" i="4"/>
  <c r="AX12" i="4"/>
  <c r="BC12" i="4"/>
  <c r="BG12" i="4"/>
  <c r="X12" i="4"/>
  <c r="AC12" i="4"/>
  <c r="AG12" i="4"/>
  <c r="AL12" i="4"/>
  <c r="AT12" i="4"/>
  <c r="AY12" i="4"/>
  <c r="BD12" i="4"/>
  <c r="Y12" i="4"/>
  <c r="AD12" i="4"/>
  <c r="AI12" i="4"/>
  <c r="AM12" i="4"/>
  <c r="AU12" i="4"/>
  <c r="AJ12" i="4"/>
  <c r="AZ12" i="4"/>
  <c r="BE12" i="4"/>
  <c r="Z12" i="4"/>
  <c r="AQ12" i="4"/>
  <c r="AE12" i="4"/>
  <c r="BM11" i="4"/>
  <c r="BN11" i="4" s="1"/>
  <c r="BK11" i="4"/>
  <c r="BL11" i="4" s="1"/>
  <c r="S9" i="4"/>
  <c r="T9" i="4" s="1"/>
  <c r="BK9" i="4"/>
  <c r="BL9" i="4" s="1"/>
  <c r="BM9" i="4"/>
  <c r="BN9" i="4" s="1"/>
  <c r="AT14" i="4"/>
  <c r="AY14" i="4"/>
  <c r="BD14" i="4"/>
  <c r="Y14" i="4"/>
  <c r="AD14" i="4"/>
  <c r="AI14" i="4"/>
  <c r="AM14" i="4"/>
  <c r="AQ14" i="4"/>
  <c r="AU14" i="4"/>
  <c r="AZ14" i="4"/>
  <c r="BE14" i="4"/>
  <c r="Z14" i="4"/>
  <c r="AE14" i="4"/>
  <c r="AJ14" i="4"/>
  <c r="AR14" i="4"/>
  <c r="AW14" i="4"/>
  <c r="BA14" i="4"/>
  <c r="BF14" i="4"/>
  <c r="W14" i="4"/>
  <c r="AA14" i="4"/>
  <c r="AF14" i="4"/>
  <c r="AK14" i="4"/>
  <c r="AX14" i="4"/>
  <c r="AL14" i="4"/>
  <c r="BC14" i="4"/>
  <c r="X14" i="4"/>
  <c r="BG14" i="4"/>
  <c r="AC14" i="4"/>
  <c r="AS14" i="4"/>
  <c r="AG14" i="4"/>
  <c r="AT10" i="4"/>
  <c r="AY10" i="4"/>
  <c r="BD10" i="4"/>
  <c r="Y10" i="4"/>
  <c r="AD10" i="4"/>
  <c r="AI10" i="4"/>
  <c r="AM10" i="4"/>
  <c r="AQ10" i="4"/>
  <c r="AU10" i="4"/>
  <c r="AZ10" i="4"/>
  <c r="BE10" i="4"/>
  <c r="Z10" i="4"/>
  <c r="AE10" i="4"/>
  <c r="AJ10" i="4"/>
  <c r="AR10" i="4"/>
  <c r="AW10" i="4"/>
  <c r="BA10" i="4"/>
  <c r="BF10" i="4"/>
  <c r="W10" i="4"/>
  <c r="AA10" i="4"/>
  <c r="AF10" i="4"/>
  <c r="AK10" i="4"/>
  <c r="AS10" i="4"/>
  <c r="AG10" i="4"/>
  <c r="AX10" i="4"/>
  <c r="AL10" i="4"/>
  <c r="BC10" i="4"/>
  <c r="X10" i="4"/>
  <c r="BG10" i="4"/>
  <c r="AC10" i="4"/>
  <c r="H13" i="3"/>
  <c r="S6" i="4"/>
  <c r="T6" i="4" s="1"/>
  <c r="S13" i="4"/>
  <c r="T13" i="4" s="1"/>
  <c r="BK13" i="4"/>
  <c r="BL13" i="4" s="1"/>
  <c r="BQ13" i="4" s="1"/>
  <c r="BM13" i="4"/>
  <c r="BN13" i="4" s="1"/>
  <c r="H15" i="3"/>
  <c r="S8" i="4"/>
  <c r="T8" i="4" s="1"/>
  <c r="BK8" i="4"/>
  <c r="BL8" i="4" s="1"/>
  <c r="BQ8" i="4" s="1"/>
  <c r="BM8" i="4"/>
  <c r="BN8" i="4" s="1"/>
  <c r="BH8" i="5"/>
  <c r="AN8" i="5"/>
  <c r="AN6" i="5"/>
  <c r="BF5" i="5"/>
  <c r="BA5" i="5"/>
  <c r="AW5" i="5"/>
  <c r="AR5" i="5"/>
  <c r="AM5" i="5"/>
  <c r="AI5" i="5"/>
  <c r="AD5" i="5"/>
  <c r="Y5" i="5"/>
  <c r="AX5" i="5"/>
  <c r="AJ5" i="5"/>
  <c r="BE5" i="5"/>
  <c r="AZ5" i="5"/>
  <c r="AU5" i="5"/>
  <c r="AQ5" i="5"/>
  <c r="AL5" i="5"/>
  <c r="AG5" i="5"/>
  <c r="AC5" i="5"/>
  <c r="X5" i="5"/>
  <c r="BC5" i="5"/>
  <c r="AS5" i="5"/>
  <c r="AE5" i="5"/>
  <c r="BD5" i="5"/>
  <c r="AY5" i="5"/>
  <c r="AT5" i="5"/>
  <c r="AK5" i="5"/>
  <c r="AF5" i="5"/>
  <c r="AA5" i="5"/>
  <c r="W5" i="5"/>
  <c r="BG5" i="5"/>
  <c r="Z5" i="5"/>
  <c r="BH6" i="5"/>
  <c r="S11" i="4"/>
  <c r="T11" i="4" s="1"/>
  <c r="C7" i="4"/>
  <c r="C5" i="4"/>
  <c r="BM10" i="5" l="1"/>
  <c r="BN10" i="5" s="1"/>
  <c r="BQ10" i="5" s="1"/>
  <c r="E49" i="2" s="1"/>
  <c r="H49" i="2" s="1"/>
  <c r="BR10" i="5"/>
  <c r="BM11" i="5"/>
  <c r="BN11" i="5" s="1"/>
  <c r="BQ11" i="5" s="1"/>
  <c r="BR11" i="5"/>
  <c r="BM14" i="5"/>
  <c r="BN14" i="5" s="1"/>
  <c r="BQ14" i="5" s="1"/>
  <c r="E53" i="2" s="1"/>
  <c r="H53" i="2" s="1"/>
  <c r="BR14" i="5"/>
  <c r="BM8" i="5"/>
  <c r="BN8" i="5" s="1"/>
  <c r="BQ8" i="5" s="1"/>
  <c r="E47" i="2" s="1"/>
  <c r="H47" i="2" s="1"/>
  <c r="BR8" i="5"/>
  <c r="BM12" i="5"/>
  <c r="BN12" i="5" s="1"/>
  <c r="BQ12" i="5" s="1"/>
  <c r="E51" i="2" s="1"/>
  <c r="H51" i="2" s="1"/>
  <c r="BR12" i="5"/>
  <c r="T70" i="6"/>
  <c r="M28" i="2" s="1"/>
  <c r="T71" i="6"/>
  <c r="M29" i="2" s="1"/>
  <c r="J14" i="3"/>
  <c r="J8" i="3"/>
  <c r="AO9" i="5"/>
  <c r="AO13" i="5"/>
  <c r="AO7" i="5"/>
  <c r="J10" i="3"/>
  <c r="S5" i="4"/>
  <c r="T5" i="4" s="1"/>
  <c r="AA5" i="4" s="1"/>
  <c r="BQ9" i="4"/>
  <c r="BQ11" i="4"/>
  <c r="E50" i="2" s="1"/>
  <c r="H50" i="2" s="1"/>
  <c r="BH14" i="4"/>
  <c r="BH12" i="4"/>
  <c r="BH10" i="4"/>
  <c r="AR8" i="4"/>
  <c r="AW8" i="4"/>
  <c r="BA8" i="4"/>
  <c r="BF8" i="4"/>
  <c r="W8" i="4"/>
  <c r="AA8" i="4"/>
  <c r="AF8" i="4"/>
  <c r="AK8" i="4"/>
  <c r="AS8" i="4"/>
  <c r="AX8" i="4"/>
  <c r="BC8" i="4"/>
  <c r="BG8" i="4"/>
  <c r="X8" i="4"/>
  <c r="AC8" i="4"/>
  <c r="AG8" i="4"/>
  <c r="AL8" i="4"/>
  <c r="AT8" i="4"/>
  <c r="AY8" i="4"/>
  <c r="BD8" i="4"/>
  <c r="Y8" i="4"/>
  <c r="AD8" i="4"/>
  <c r="AI8" i="4"/>
  <c r="AM8" i="4"/>
  <c r="AQ8" i="4"/>
  <c r="AE8" i="4"/>
  <c r="AU8" i="4"/>
  <c r="AJ8" i="4"/>
  <c r="AZ8" i="4"/>
  <c r="BE8" i="4"/>
  <c r="Z8" i="4"/>
  <c r="AS13" i="4"/>
  <c r="AX13" i="4"/>
  <c r="BC13" i="4"/>
  <c r="BG13" i="4"/>
  <c r="X13" i="4"/>
  <c r="AC13" i="4"/>
  <c r="AG13" i="4"/>
  <c r="AL13" i="4"/>
  <c r="AT13" i="4"/>
  <c r="AY13" i="4"/>
  <c r="BD13" i="4"/>
  <c r="Y13" i="4"/>
  <c r="AD13" i="4"/>
  <c r="AI13" i="4"/>
  <c r="AM13" i="4"/>
  <c r="AQ13" i="4"/>
  <c r="AU13" i="4"/>
  <c r="AZ13" i="4"/>
  <c r="BE13" i="4"/>
  <c r="Z13" i="4"/>
  <c r="AE13" i="4"/>
  <c r="AJ13" i="4"/>
  <c r="AW13" i="4"/>
  <c r="AK13" i="4"/>
  <c r="AF13" i="4"/>
  <c r="BA13" i="4"/>
  <c r="W13" i="4"/>
  <c r="BF13" i="4"/>
  <c r="AA13" i="4"/>
  <c r="AR13" i="4"/>
  <c r="AS9" i="4"/>
  <c r="AX9" i="4"/>
  <c r="BC9" i="4"/>
  <c r="BG9" i="4"/>
  <c r="X9" i="4"/>
  <c r="AC9" i="4"/>
  <c r="AG9" i="4"/>
  <c r="AL9" i="4"/>
  <c r="AT9" i="4"/>
  <c r="AY9" i="4"/>
  <c r="BD9" i="4"/>
  <c r="Y9" i="4"/>
  <c r="AD9" i="4"/>
  <c r="AI9" i="4"/>
  <c r="AM9" i="4"/>
  <c r="AQ9" i="4"/>
  <c r="AU9" i="4"/>
  <c r="AZ9" i="4"/>
  <c r="BE9" i="4"/>
  <c r="Z9" i="4"/>
  <c r="AE9" i="4"/>
  <c r="AJ9" i="4"/>
  <c r="AR9" i="4"/>
  <c r="AF9" i="4"/>
  <c r="AW9" i="4"/>
  <c r="AK9" i="4"/>
  <c r="BA9" i="4"/>
  <c r="W9" i="4"/>
  <c r="BF9" i="4"/>
  <c r="AA9" i="4"/>
  <c r="BM7" i="4"/>
  <c r="BN7" i="4" s="1"/>
  <c r="BK7" i="4"/>
  <c r="BL7" i="4" s="1"/>
  <c r="BQ7" i="4" s="1"/>
  <c r="AQ11" i="4"/>
  <c r="AU11" i="4"/>
  <c r="AZ11" i="4"/>
  <c r="BE11" i="4"/>
  <c r="Z11" i="4"/>
  <c r="AE11" i="4"/>
  <c r="AJ11" i="4"/>
  <c r="AR11" i="4"/>
  <c r="AW11" i="4"/>
  <c r="BA11" i="4"/>
  <c r="BF11" i="4"/>
  <c r="W11" i="4"/>
  <c r="AA11" i="4"/>
  <c r="AF11" i="4"/>
  <c r="AK11" i="4"/>
  <c r="AS11" i="4"/>
  <c r="AX11" i="4"/>
  <c r="BC11" i="4"/>
  <c r="BG11" i="4"/>
  <c r="X11" i="4"/>
  <c r="AC11" i="4"/>
  <c r="AG11" i="4"/>
  <c r="AL11" i="4"/>
  <c r="AT11" i="4"/>
  <c r="AI11" i="4"/>
  <c r="AY11" i="4"/>
  <c r="AM11" i="4"/>
  <c r="BD11" i="4"/>
  <c r="Y11" i="4"/>
  <c r="AD11" i="4"/>
  <c r="AN5" i="5"/>
  <c r="BH5" i="5"/>
  <c r="L13" i="3"/>
  <c r="H14" i="3"/>
  <c r="L11" i="3"/>
  <c r="S7" i="4"/>
  <c r="T7" i="4" s="1"/>
  <c r="H9" i="3"/>
  <c r="L9" i="3" s="1"/>
  <c r="BF6" i="4"/>
  <c r="AU6" i="4"/>
  <c r="W6" i="4"/>
  <c r="X6" i="4"/>
  <c r="AL6" i="4"/>
  <c r="AD6" i="4"/>
  <c r="AW6" i="4"/>
  <c r="BA6" i="4"/>
  <c r="AJ6" i="4"/>
  <c r="BD6" i="4"/>
  <c r="AE6" i="4"/>
  <c r="AG6" i="4"/>
  <c r="AT6" i="4"/>
  <c r="AI6" i="4"/>
  <c r="AC6" i="4"/>
  <c r="AX6" i="4"/>
  <c r="AA6" i="4"/>
  <c r="AQ6" i="4"/>
  <c r="Z6" i="4"/>
  <c r="AZ6" i="4"/>
  <c r="AM6" i="4"/>
  <c r="AK6" i="4"/>
  <c r="AS6" i="4"/>
  <c r="BE6" i="4"/>
  <c r="AY6" i="4"/>
  <c r="Y6" i="4"/>
  <c r="BC6" i="4"/>
  <c r="AF6" i="4"/>
  <c r="BG6" i="4"/>
  <c r="AR6" i="4"/>
  <c r="BM13" i="5" l="1"/>
  <c r="BN13" i="5" s="1"/>
  <c r="BQ13" i="5" s="1"/>
  <c r="E52" i="2" s="1"/>
  <c r="H52" i="2" s="1"/>
  <c r="BR13" i="5"/>
  <c r="BM9" i="5"/>
  <c r="BN9" i="5" s="1"/>
  <c r="BQ9" i="5" s="1"/>
  <c r="E48" i="2" s="1"/>
  <c r="H48" i="2" s="1"/>
  <c r="BR9" i="5"/>
  <c r="F47" i="2"/>
  <c r="G47" i="2" s="1"/>
  <c r="F59" i="6"/>
  <c r="F49" i="2"/>
  <c r="G49" i="2" s="1"/>
  <c r="F61" i="6"/>
  <c r="F51" i="2"/>
  <c r="G51" i="2" s="1"/>
  <c r="F63" i="6"/>
  <c r="BM7" i="5"/>
  <c r="BN7" i="5" s="1"/>
  <c r="BQ7" i="5" s="1"/>
  <c r="E46" i="2" s="1"/>
  <c r="H46" i="2" s="1"/>
  <c r="BR7" i="5"/>
  <c r="H12" i="3"/>
  <c r="L12" i="3" s="1"/>
  <c r="F62" i="6" s="1"/>
  <c r="L14" i="3"/>
  <c r="E16" i="2"/>
  <c r="E18" i="2"/>
  <c r="H10" i="3"/>
  <c r="L10" i="3" s="1"/>
  <c r="E20" i="2"/>
  <c r="BH11" i="4"/>
  <c r="AJ7" i="4"/>
  <c r="BE7" i="4"/>
  <c r="AM7" i="4"/>
  <c r="AZ7" i="4"/>
  <c r="Y7" i="4"/>
  <c r="AI7" i="4"/>
  <c r="AY7" i="4"/>
  <c r="AW7" i="4"/>
  <c r="X7" i="4"/>
  <c r="BH13" i="4"/>
  <c r="AR7" i="4"/>
  <c r="AT7" i="4"/>
  <c r="AX7" i="4"/>
  <c r="AG7" i="4"/>
  <c r="AD7" i="4"/>
  <c r="BC7" i="4"/>
  <c r="AL7" i="4"/>
  <c r="AU7" i="4"/>
  <c r="AE7" i="4"/>
  <c r="W7" i="4"/>
  <c r="Z7" i="4"/>
  <c r="BA7" i="4"/>
  <c r="BD7" i="4"/>
  <c r="BG7" i="4"/>
  <c r="AC7" i="4"/>
  <c r="AA7" i="4"/>
  <c r="AQ7" i="4"/>
  <c r="BF7" i="4"/>
  <c r="AK7" i="4"/>
  <c r="AS7" i="4"/>
  <c r="AF7" i="4"/>
  <c r="AI5" i="4"/>
  <c r="AE5" i="4"/>
  <c r="AY5" i="4"/>
  <c r="AW5" i="4"/>
  <c r="BF5" i="4"/>
  <c r="AT5" i="4"/>
  <c r="X5" i="4"/>
  <c r="BD5" i="4"/>
  <c r="AQ5" i="4"/>
  <c r="AS5" i="4"/>
  <c r="AU5" i="4"/>
  <c r="AD5" i="4"/>
  <c r="AC5" i="4"/>
  <c r="AR5" i="4"/>
  <c r="AX5" i="4"/>
  <c r="H8" i="3"/>
  <c r="L8" i="3" s="1"/>
  <c r="F58" i="6" s="1"/>
  <c r="BC5" i="4"/>
  <c r="AK5" i="4"/>
  <c r="W5" i="4"/>
  <c r="AZ5" i="4"/>
  <c r="AL5" i="4"/>
  <c r="AG5" i="4"/>
  <c r="Y5" i="4"/>
  <c r="AM5" i="4"/>
  <c r="BA5" i="4"/>
  <c r="AJ5" i="4"/>
  <c r="BG5" i="4"/>
  <c r="AF5" i="4"/>
  <c r="Z5" i="4"/>
  <c r="BE5" i="4"/>
  <c r="AN12" i="4"/>
  <c r="AN6" i="4"/>
  <c r="U6" i="4" s="1"/>
  <c r="BK6" i="4" s="1"/>
  <c r="BL6" i="4" s="1"/>
  <c r="BH8" i="4"/>
  <c r="AN8" i="4"/>
  <c r="AN9" i="4"/>
  <c r="BH6" i="4"/>
  <c r="AO6" i="4" s="1"/>
  <c r="BH9" i="4"/>
  <c r="F48" i="2" l="1"/>
  <c r="G48" i="2" s="1"/>
  <c r="F60" i="6"/>
  <c r="F52" i="2"/>
  <c r="G52" i="2" s="1"/>
  <c r="F64" i="6"/>
  <c r="F46" i="2"/>
  <c r="G46" i="2" s="1"/>
  <c r="E19" i="2"/>
  <c r="F50" i="2"/>
  <c r="G50" i="2" s="1"/>
  <c r="E21" i="2"/>
  <c r="E17" i="2"/>
  <c r="E15" i="2"/>
  <c r="BR6" i="4"/>
  <c r="BM6" i="4"/>
  <c r="BN6" i="4" s="1"/>
  <c r="BQ6" i="4" s="1"/>
  <c r="BH7" i="4"/>
  <c r="AN7" i="4"/>
  <c r="AN5" i="4"/>
  <c r="U5" i="4" s="1"/>
  <c r="BK5" i="4" s="1"/>
  <c r="BL5" i="4" s="1"/>
  <c r="BH5" i="4"/>
  <c r="AO5" i="4" s="1"/>
  <c r="AN14" i="4"/>
  <c r="AN10" i="4"/>
  <c r="G63" i="6" l="1"/>
  <c r="G59" i="6"/>
  <c r="G61" i="6"/>
  <c r="H7" i="3"/>
  <c r="D45" i="2"/>
  <c r="J7" i="3"/>
  <c r="BM5" i="4"/>
  <c r="BN5" i="4" s="1"/>
  <c r="BQ5" i="4" s="1"/>
  <c r="BR5" i="4"/>
  <c r="D44" i="2" s="1"/>
  <c r="AN11" i="4"/>
  <c r="AN13" i="4"/>
  <c r="M61" i="6" l="1"/>
  <c r="I61" i="6"/>
  <c r="Q61" i="6"/>
  <c r="P61" i="6"/>
  <c r="R61" i="6"/>
  <c r="S61" i="6"/>
  <c r="L61" i="6"/>
  <c r="K61" i="6"/>
  <c r="J61" i="6"/>
  <c r="H61" i="6"/>
  <c r="N61" i="6"/>
  <c r="O61" i="6"/>
  <c r="S59" i="6"/>
  <c r="R59" i="6"/>
  <c r="J59" i="6"/>
  <c r="P59" i="6"/>
  <c r="H59" i="6"/>
  <c r="Q59" i="6"/>
  <c r="N59" i="6"/>
  <c r="M59" i="6"/>
  <c r="O59" i="6"/>
  <c r="I59" i="6"/>
  <c r="L59" i="6"/>
  <c r="K59" i="6"/>
  <c r="M63" i="6"/>
  <c r="J63" i="6"/>
  <c r="S63" i="6"/>
  <c r="I63" i="6"/>
  <c r="N63" i="6"/>
  <c r="O63" i="6"/>
  <c r="K63" i="6"/>
  <c r="P63" i="6"/>
  <c r="R63" i="6"/>
  <c r="Q63" i="6"/>
  <c r="L63" i="6"/>
  <c r="H63" i="6"/>
  <c r="AO6" i="5"/>
  <c r="BM6" i="5" s="1"/>
  <c r="BN6" i="5" s="1"/>
  <c r="BQ6" i="5" s="1"/>
  <c r="E45" i="2" s="1"/>
  <c r="H45" i="2" s="1"/>
  <c r="G64" i="6"/>
  <c r="G62" i="6"/>
  <c r="G58" i="6"/>
  <c r="G60" i="6"/>
  <c r="BR6" i="5"/>
  <c r="L7" i="3"/>
  <c r="F57" i="6" s="1"/>
  <c r="H6" i="3"/>
  <c r="J6" i="3"/>
  <c r="AO5" i="5"/>
  <c r="BR5" i="5" s="1"/>
  <c r="K62" i="6" l="1"/>
  <c r="O62" i="6"/>
  <c r="I62" i="6"/>
  <c r="R62" i="6"/>
  <c r="H62" i="6"/>
  <c r="Q62" i="6"/>
  <c r="S62" i="6"/>
  <c r="L62" i="6"/>
  <c r="N62" i="6"/>
  <c r="P62" i="6"/>
  <c r="M62" i="6"/>
  <c r="J62" i="6"/>
  <c r="N58" i="6"/>
  <c r="M58" i="6"/>
  <c r="H58" i="6"/>
  <c r="I58" i="6"/>
  <c r="K58" i="6"/>
  <c r="J58" i="6"/>
  <c r="L58" i="6"/>
  <c r="O58" i="6"/>
  <c r="R64" i="6"/>
  <c r="S64" i="6"/>
  <c r="Q64" i="6"/>
  <c r="R60" i="6"/>
  <c r="I60" i="6"/>
  <c r="Q60" i="6"/>
  <c r="L60" i="6"/>
  <c r="S60" i="6"/>
  <c r="O60" i="6"/>
  <c r="J60" i="6"/>
  <c r="K60" i="6"/>
  <c r="M60" i="6"/>
  <c r="H60" i="6"/>
  <c r="N60" i="6"/>
  <c r="P60" i="6"/>
  <c r="P58" i="6"/>
  <c r="S58" i="6"/>
  <c r="R58" i="6"/>
  <c r="Q58" i="6"/>
  <c r="F45" i="2"/>
  <c r="G45" i="2" s="1"/>
  <c r="E14" i="2"/>
  <c r="L6" i="3"/>
  <c r="F56" i="6" s="1"/>
  <c r="BM5" i="5"/>
  <c r="BN5" i="5" s="1"/>
  <c r="L15" i="3"/>
  <c r="F53" i="2" l="1"/>
  <c r="G53" i="2" s="1"/>
  <c r="F65" i="6"/>
  <c r="E22" i="2"/>
  <c r="E13" i="2"/>
  <c r="BQ5" i="5"/>
  <c r="G57" i="6" l="1"/>
  <c r="E23" i="2"/>
  <c r="O13" i="2" s="1"/>
  <c r="J23" i="3" s="1"/>
  <c r="E44" i="2"/>
  <c r="H44" i="2" s="1"/>
  <c r="O15" i="2" l="1"/>
  <c r="M13" i="2"/>
  <c r="G23" i="3" s="1"/>
  <c r="O57" i="6"/>
  <c r="S57" i="6"/>
  <c r="Q57" i="6"/>
  <c r="K57" i="6"/>
  <c r="M57" i="6"/>
  <c r="R57" i="6"/>
  <c r="N57" i="6"/>
  <c r="J57" i="6"/>
  <c r="P57" i="6"/>
  <c r="L57" i="6"/>
  <c r="I57" i="6"/>
  <c r="H57" i="6"/>
  <c r="G56" i="6"/>
  <c r="G65" i="6"/>
  <c r="F44" i="2"/>
  <c r="N13" i="2"/>
  <c r="O16" i="2" l="1"/>
  <c r="H23" i="3"/>
  <c r="M16" i="2"/>
  <c r="G44" i="2"/>
  <c r="Q56" i="6"/>
  <c r="Q82" i="6" s="1"/>
  <c r="N56" i="6"/>
  <c r="N82" i="6" s="1"/>
  <c r="S56" i="6"/>
  <c r="S82" i="6" s="1"/>
  <c r="P56" i="6"/>
  <c r="P82" i="6" s="1"/>
  <c r="R56" i="6"/>
  <c r="R82" i="6" s="1"/>
  <c r="O56" i="6"/>
  <c r="O82" i="6" s="1"/>
  <c r="H56" i="6"/>
  <c r="H82" i="6" s="1"/>
  <c r="I56" i="6"/>
  <c r="I82" i="6" s="1"/>
  <c r="L56" i="6"/>
  <c r="L82" i="6" s="1"/>
  <c r="M56" i="6"/>
  <c r="M82" i="6" s="1"/>
  <c r="K56" i="6"/>
  <c r="K82" i="6" s="1"/>
  <c r="J56" i="6"/>
  <c r="J82" i="6" s="1"/>
  <c r="N16" i="2"/>
  <c r="D56" i="2" l="1"/>
  <c r="G54" i="2"/>
  <c r="T56" i="6"/>
  <c r="M27" i="2" l="1"/>
  <c r="I23" i="3" s="1"/>
  <c r="C60" i="2"/>
  <c r="D60" i="2" s="1"/>
  <c r="C61" i="2"/>
  <c r="C62" i="2"/>
  <c r="D61" i="2" l="1"/>
  <c r="D62" i="2" l="1"/>
  <c r="D63" i="2" s="1"/>
  <c r="O17" i="2" l="1"/>
  <c r="J25" i="3" s="1"/>
  <c r="O18" i="2"/>
  <c r="J27" i="3" s="1"/>
  <c r="M17" i="2"/>
  <c r="H60" i="2"/>
  <c r="H62" i="2"/>
  <c r="N17" i="2"/>
  <c r="I14" i="2"/>
  <c r="C37" i="6"/>
  <c r="N18" i="2"/>
  <c r="H58" i="2"/>
  <c r="M18" i="2"/>
  <c r="G27" i="3" s="1"/>
  <c r="H27" i="3" l="1"/>
  <c r="G35" i="3"/>
  <c r="O20" i="2"/>
  <c r="I20" i="2"/>
  <c r="I21" i="2" s="1"/>
  <c r="I22" i="2" s="1"/>
  <c r="N19" i="2" s="1"/>
  <c r="H25" i="3" s="1"/>
  <c r="I15" i="2"/>
  <c r="I16" i="2" s="1"/>
  <c r="M19" i="2" s="1"/>
  <c r="M20" i="2" s="1"/>
  <c r="G29" i="3" s="1"/>
  <c r="K76" i="6"/>
  <c r="S75" i="6"/>
  <c r="J75" i="6"/>
  <c r="I75" i="6"/>
  <c r="R75" i="6"/>
  <c r="R76" i="6"/>
  <c r="L75" i="6"/>
  <c r="S76" i="6"/>
  <c r="Q76" i="6"/>
  <c r="P76" i="6"/>
  <c r="Q75" i="6"/>
  <c r="L76" i="6"/>
  <c r="O76" i="6"/>
  <c r="P75" i="6"/>
  <c r="H75" i="6"/>
  <c r="M75" i="6"/>
  <c r="H76" i="6"/>
  <c r="N75" i="6"/>
  <c r="N76" i="6"/>
  <c r="O75" i="6"/>
  <c r="K75" i="6"/>
  <c r="J76" i="6"/>
  <c r="M76" i="6"/>
  <c r="I76" i="6"/>
  <c r="O22" i="2" l="1"/>
  <c r="O23" i="2" s="1"/>
  <c r="J29" i="3"/>
  <c r="J31" i="3" s="1"/>
  <c r="G25" i="3"/>
  <c r="G31" i="3" s="1"/>
  <c r="N20" i="2"/>
  <c r="Q83" i="6"/>
  <c r="S83" i="6"/>
  <c r="I83" i="6"/>
  <c r="M83" i="6"/>
  <c r="J83" i="6"/>
  <c r="O83" i="6"/>
  <c r="T76" i="6"/>
  <c r="M32" i="2" s="1"/>
  <c r="L83" i="6"/>
  <c r="N83" i="6"/>
  <c r="P83" i="6"/>
  <c r="T75" i="6"/>
  <c r="M31" i="2" s="1"/>
  <c r="H83" i="6"/>
  <c r="H84" i="6" s="1"/>
  <c r="K83" i="6"/>
  <c r="R83" i="6"/>
  <c r="H29" i="3" l="1"/>
  <c r="H31" i="3" s="1"/>
  <c r="N22" i="2"/>
  <c r="N23" i="2" s="1"/>
  <c r="M22" i="2"/>
  <c r="M23" i="2" s="1"/>
  <c r="H86" i="6"/>
  <c r="H87" i="6" s="1"/>
  <c r="J84" i="6" l="1"/>
  <c r="J86" i="6" s="1"/>
  <c r="J87" i="6" s="1"/>
  <c r="L84" i="6"/>
  <c r="I84" i="6"/>
  <c r="L86" i="6" l="1"/>
  <c r="L87" i="6" s="1"/>
  <c r="I86" i="6"/>
  <c r="K84" i="6"/>
  <c r="I87" i="6" l="1"/>
  <c r="N84" i="6"/>
  <c r="K86" i="6"/>
  <c r="K87" i="6" l="1"/>
  <c r="P84" i="6"/>
  <c r="R84" i="6"/>
  <c r="N86" i="6"/>
  <c r="N87" i="6" s="1"/>
  <c r="M84" i="6"/>
  <c r="O84" i="6" l="1"/>
  <c r="O86" i="6" s="1"/>
  <c r="O87" i="6" s="1"/>
  <c r="I25" i="3"/>
  <c r="P86" i="6"/>
  <c r="P87" i="6" s="1"/>
  <c r="M86" i="6"/>
  <c r="M87" i="6" s="1"/>
  <c r="M30" i="2"/>
  <c r="R86" i="6"/>
  <c r="R87" i="6" s="1"/>
  <c r="S84" i="6" l="1"/>
  <c r="M33" i="2"/>
  <c r="Q84" i="6"/>
  <c r="I27" i="3"/>
  <c r="T82" i="6"/>
  <c r="Q86" i="6" l="1"/>
  <c r="Q87" i="6" s="1"/>
  <c r="T84" i="6"/>
  <c r="S86" i="6"/>
  <c r="T83" i="6"/>
  <c r="T86" i="6" l="1"/>
  <c r="S87" i="6"/>
  <c r="T87" i="6" s="1"/>
  <c r="M37" i="2" s="1"/>
  <c r="I29" i="3" s="1"/>
  <c r="I31" i="3" s="1"/>
  <c r="H66" i="2" s="1"/>
  <c r="M35" i="2" l="1"/>
  <c r="M36" i="2" s="1"/>
  <c r="G34" i="3" s="1"/>
</calcChain>
</file>

<file path=xl/sharedStrings.xml><?xml version="1.0" encoding="utf-8"?>
<sst xmlns="http://schemas.openxmlformats.org/spreadsheetml/2006/main" count="632" uniqueCount="251">
  <si>
    <t>円</t>
    <rPh sb="0" eb="1">
      <t>エン</t>
    </rPh>
    <phoneticPr fontId="1"/>
  </si>
  <si>
    <t>月</t>
    <rPh sb="0" eb="1">
      <t>ガツ</t>
    </rPh>
    <phoneticPr fontId="1"/>
  </si>
  <si>
    <t>税率</t>
    <rPh sb="0" eb="2">
      <t>ゼイリツ</t>
    </rPh>
    <phoneticPr fontId="1"/>
  </si>
  <si>
    <t>医療分</t>
    <rPh sb="0" eb="2">
      <t>イリョウ</t>
    </rPh>
    <rPh sb="2" eb="3">
      <t>ブン</t>
    </rPh>
    <phoneticPr fontId="1"/>
  </si>
  <si>
    <t>支援金分</t>
    <rPh sb="0" eb="3">
      <t>シエンキン</t>
    </rPh>
    <rPh sb="3" eb="4">
      <t>ブン</t>
    </rPh>
    <phoneticPr fontId="1"/>
  </si>
  <si>
    <t>介護分</t>
    <rPh sb="0" eb="2">
      <t>カイゴ</t>
    </rPh>
    <rPh sb="2" eb="3">
      <t>ブン</t>
    </rPh>
    <phoneticPr fontId="1"/>
  </si>
  <si>
    <t>所得割</t>
    <rPh sb="0" eb="2">
      <t>ショトク</t>
    </rPh>
    <rPh sb="2" eb="3">
      <t>ワリ</t>
    </rPh>
    <phoneticPr fontId="1"/>
  </si>
  <si>
    <t>均等割</t>
    <rPh sb="0" eb="3">
      <t>キントウワリ</t>
    </rPh>
    <phoneticPr fontId="1"/>
  </si>
  <si>
    <t>平等割</t>
    <rPh sb="0" eb="2">
      <t>ビョウドウ</t>
    </rPh>
    <rPh sb="2" eb="3">
      <t>ワリ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</si>
  <si>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</si>
  <si>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</si>
  <si>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</si>
  <si>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</si>
  <si>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</si>
  <si>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rPh sb="2" eb="3">
      <t>メ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</si>
  <si>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</si>
  <si>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</si>
  <si>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rPh sb="2" eb="3">
      <t>メ</t>
    </rPh>
    <phoneticPr fontId="1"/>
  </si>
  <si>
    <t>●何月から加入？？</t>
    <rPh sb="1" eb="3">
      <t>ナンガツ</t>
    </rPh>
    <rPh sb="5" eb="7">
      <t>カニュウ</t>
    </rPh>
    <phoneticPr fontId="1"/>
  </si>
  <si>
    <t>限度額</t>
    <rPh sb="0" eb="2">
      <t>ゲンド</t>
    </rPh>
    <rPh sb="2" eb="3">
      <t>ガク</t>
    </rPh>
    <phoneticPr fontId="1"/>
  </si>
  <si>
    <t>計</t>
    <rPh sb="0" eb="1">
      <t>ケイ</t>
    </rPh>
    <phoneticPr fontId="1"/>
  </si>
  <si>
    <t>軽減：均</t>
    <rPh sb="0" eb="2">
      <t>ケイゲン</t>
    </rPh>
    <rPh sb="3" eb="4">
      <t>キン</t>
    </rPh>
    <phoneticPr fontId="1"/>
  </si>
  <si>
    <t>軽減：平</t>
    <rPh sb="0" eb="2">
      <t>ケイゲン</t>
    </rPh>
    <rPh sb="3" eb="4">
      <t>ビョウ</t>
    </rPh>
    <phoneticPr fontId="1"/>
  </si>
  <si>
    <t>算定額</t>
    <rPh sb="0" eb="2">
      <t>サンテイ</t>
    </rPh>
    <rPh sb="2" eb="3">
      <t>ガク</t>
    </rPh>
    <phoneticPr fontId="1"/>
  </si>
  <si>
    <t>軽減後</t>
    <rPh sb="0" eb="2">
      <t>ケイゲン</t>
    </rPh>
    <rPh sb="2" eb="3">
      <t>ゴ</t>
    </rPh>
    <phoneticPr fontId="1"/>
  </si>
  <si>
    <t>12か月分</t>
    <rPh sb="3" eb="5">
      <t>ゲツブン</t>
    </rPh>
    <phoneticPr fontId="1"/>
  </si>
  <si>
    <t>医療分</t>
    <phoneticPr fontId="1"/>
  </si>
  <si>
    <t>支援金分</t>
    <rPh sb="0" eb="3">
      <t>シエンキン</t>
    </rPh>
    <rPh sb="3" eb="4">
      <t>ブン</t>
    </rPh>
    <phoneticPr fontId="1"/>
  </si>
  <si>
    <t>介護分</t>
    <rPh sb="0" eb="2">
      <t>カイゴ</t>
    </rPh>
    <rPh sb="2" eb="3">
      <t>ブン</t>
    </rPh>
    <phoneticPr fontId="1"/>
  </si>
  <si>
    <t>給与所得</t>
    <rPh sb="0" eb="2">
      <t>キュウヨ</t>
    </rPh>
    <rPh sb="2" eb="4">
      <t>ショトク</t>
    </rPh>
    <phoneticPr fontId="1"/>
  </si>
  <si>
    <t>年金所得</t>
    <rPh sb="0" eb="2">
      <t>ネンキン</t>
    </rPh>
    <rPh sb="2" eb="4">
      <t>ショトク</t>
    </rPh>
    <phoneticPr fontId="1"/>
  </si>
  <si>
    <t>◆給与所得換算◆</t>
    <rPh sb="1" eb="3">
      <t>キュウヨ</t>
    </rPh>
    <rPh sb="3" eb="5">
      <t>ショトク</t>
    </rPh>
    <rPh sb="5" eb="7">
      <t>カンサン</t>
    </rPh>
    <phoneticPr fontId="5"/>
  </si>
  <si>
    <t>◆年金所得換算◆</t>
    <rPh sb="1" eb="3">
      <t>ネンキン</t>
    </rPh>
    <rPh sb="3" eb="5">
      <t>ショトク</t>
    </rPh>
    <rPh sb="5" eb="7">
      <t>カンサン</t>
    </rPh>
    <phoneticPr fontId="5"/>
  </si>
  <si>
    <t>◆給与所得調整控除◆</t>
    <phoneticPr fontId="5"/>
  </si>
  <si>
    <t>№</t>
    <phoneticPr fontId="5"/>
  </si>
  <si>
    <t>収入</t>
    <rPh sb="0" eb="2">
      <t>シュウニュウ</t>
    </rPh>
    <phoneticPr fontId="5"/>
  </si>
  <si>
    <t>所得</t>
    <rPh sb="0" eb="2">
      <t>ショトク</t>
    </rPh>
    <phoneticPr fontId="5"/>
  </si>
  <si>
    <t>所得金額</t>
    <phoneticPr fontId="5"/>
  </si>
  <si>
    <t>公的年金等に係る雑
所得以外の所得合計</t>
    <rPh sb="0" eb="2">
      <t>コウテキ</t>
    </rPh>
    <rPh sb="2" eb="4">
      <t>ネンキン</t>
    </rPh>
    <rPh sb="4" eb="5">
      <t>トウ</t>
    </rPh>
    <rPh sb="6" eb="7">
      <t>カカ</t>
    </rPh>
    <rPh sb="8" eb="9">
      <t>ゾウ</t>
    </rPh>
    <rPh sb="10" eb="12">
      <t>ショトク</t>
    </rPh>
    <rPh sb="12" eb="14">
      <t>イガイ</t>
    </rPh>
    <rPh sb="15" eb="17">
      <t>ショトク</t>
    </rPh>
    <rPh sb="17" eb="19">
      <t>ゴウケイ</t>
    </rPh>
    <phoneticPr fontId="5"/>
  </si>
  <si>
    <t>65歳未満</t>
    <rPh sb="2" eb="5">
      <t>サイミマン</t>
    </rPh>
    <phoneticPr fontId="5"/>
  </si>
  <si>
    <t>所得金額</t>
    <phoneticPr fontId="5"/>
  </si>
  <si>
    <t>65歳以上</t>
    <rPh sb="2" eb="5">
      <t>サイイジョウ</t>
    </rPh>
    <phoneticPr fontId="5"/>
  </si>
  <si>
    <t>未満</t>
    <rPh sb="0" eb="2">
      <t>ミマン</t>
    </rPh>
    <phoneticPr fontId="5"/>
  </si>
  <si>
    <t>以上</t>
    <rPh sb="0" eb="2">
      <t>イジョウ</t>
    </rPh>
    <phoneticPr fontId="5"/>
  </si>
  <si>
    <t>所得</t>
  </si>
  <si>
    <t>世帯主</t>
    <rPh sb="0" eb="3">
      <t>セタイヌシ</t>
    </rPh>
    <phoneticPr fontId="1"/>
  </si>
  <si>
    <t>調整控除</t>
    <phoneticPr fontId="1"/>
  </si>
  <si>
    <t>調整控除</t>
    <phoneticPr fontId="5"/>
  </si>
  <si>
    <t>65歳未満</t>
    <phoneticPr fontId="5"/>
  </si>
  <si>
    <t>年齢</t>
    <rPh sb="0" eb="2">
      <t>ネンレイ</t>
    </rPh>
    <phoneticPr fontId="5"/>
  </si>
  <si>
    <t>給与所得</t>
    <rPh sb="0" eb="2">
      <t>キュウヨ</t>
    </rPh>
    <rPh sb="2" eb="4">
      <t>ショトク</t>
    </rPh>
    <phoneticPr fontId="5"/>
  </si>
  <si>
    <t>年金所得</t>
    <rPh sb="0" eb="2">
      <t>ネンキン</t>
    </rPh>
    <rPh sb="2" eb="4">
      <t>ショトク</t>
    </rPh>
    <phoneticPr fontId="5"/>
  </si>
  <si>
    <t>軽減判定所得</t>
    <rPh sb="0" eb="2">
      <t>ケイゲン</t>
    </rPh>
    <rPh sb="2" eb="4">
      <t>ハンテイ</t>
    </rPh>
    <rPh sb="4" eb="6">
      <t>ショトク</t>
    </rPh>
    <phoneticPr fontId="1"/>
  </si>
  <si>
    <t>軽減所得</t>
    <rPh sb="0" eb="2">
      <t>ケイゲン</t>
    </rPh>
    <rPh sb="2" eb="4">
      <t>ショトク</t>
    </rPh>
    <phoneticPr fontId="1"/>
  </si>
  <si>
    <t>軽減年金</t>
    <rPh sb="0" eb="2">
      <t>ケイゲン</t>
    </rPh>
    <rPh sb="2" eb="4">
      <t>ネンキン</t>
    </rPh>
    <phoneticPr fontId="1"/>
  </si>
  <si>
    <t>基礎控除</t>
    <rPh sb="0" eb="2">
      <t>キソ</t>
    </rPh>
    <rPh sb="2" eb="4">
      <t>コウジョ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</si>
  <si>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</si>
  <si>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</si>
  <si>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</si>
  <si>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</si>
  <si>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</si>
  <si>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</si>
  <si>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軽減上の給与年金所得有の人数</t>
    <rPh sb="0" eb="2">
      <t>ケイゲン</t>
    </rPh>
    <rPh sb="2" eb="3">
      <t>ジョウ</t>
    </rPh>
    <rPh sb="4" eb="6">
      <t>キュウヨ</t>
    </rPh>
    <rPh sb="6" eb="8">
      <t>ネンキン</t>
    </rPh>
    <rPh sb="8" eb="10">
      <t>ショトク</t>
    </rPh>
    <rPh sb="10" eb="11">
      <t>アリ</t>
    </rPh>
    <rPh sb="12" eb="14">
      <t>ニンズウ</t>
    </rPh>
    <phoneticPr fontId="1"/>
  </si>
  <si>
    <t>軽減給与</t>
    <rPh sb="0" eb="2">
      <t>ケイゲン</t>
    </rPh>
    <rPh sb="2" eb="4">
      <t>キュウヨ</t>
    </rPh>
    <phoneticPr fontId="1"/>
  </si>
  <si>
    <t>加入者数</t>
    <rPh sb="0" eb="3">
      <t>カニュウシャ</t>
    </rPh>
    <rPh sb="3" eb="4">
      <t>スウ</t>
    </rPh>
    <phoneticPr fontId="1"/>
  </si>
  <si>
    <t>軽減の閾値</t>
    <rPh sb="0" eb="2">
      <t>ケイゲン</t>
    </rPh>
    <rPh sb="3" eb="5">
      <t>シキイチ</t>
    </rPh>
    <phoneticPr fontId="1"/>
  </si>
  <si>
    <t>軽減割合</t>
    <rPh sb="0" eb="2">
      <t>ケイゲン</t>
    </rPh>
    <rPh sb="2" eb="4">
      <t>ワリアイ</t>
    </rPh>
    <phoneticPr fontId="1"/>
  </si>
  <si>
    <t>人数で増</t>
    <rPh sb="0" eb="2">
      <t>ニンズウ</t>
    </rPh>
    <rPh sb="3" eb="4">
      <t>ゾウ</t>
    </rPh>
    <phoneticPr fontId="1"/>
  </si>
  <si>
    <t>該当フラグ</t>
    <rPh sb="0" eb="2">
      <t>ガイトウ</t>
    </rPh>
    <phoneticPr fontId="1"/>
  </si>
  <si>
    <t>給与年金フラグ</t>
    <rPh sb="0" eb="2">
      <t>キュウヨ</t>
    </rPh>
    <rPh sb="2" eb="4">
      <t>ネンキン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</si>
  <si>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"/>
  </si>
  <si>
    <t>←の色の枠に入力して下さい。</t>
    <rPh sb="2" eb="3">
      <t>イロ</t>
    </rPh>
    <rPh sb="4" eb="5">
      <t>ワク</t>
    </rPh>
    <rPh sb="6" eb="8">
      <t>ニュウリョク</t>
    </rPh>
    <rPh sb="10" eb="11">
      <t>クダ</t>
    </rPh>
    <phoneticPr fontId="1"/>
  </si>
  <si>
    <t>生年月日</t>
    <rPh sb="0" eb="2">
      <t>セイネン</t>
    </rPh>
    <rPh sb="2" eb="4">
      <t>ガッピ</t>
    </rPh>
    <phoneticPr fontId="1"/>
  </si>
  <si>
    <t>年度</t>
    <rPh sb="0" eb="2">
      <t>ネンド</t>
    </rPh>
    <phoneticPr fontId="1"/>
  </si>
  <si>
    <t>介護2号</t>
    <rPh sb="0" eb="2">
      <t>カイゴ</t>
    </rPh>
    <rPh sb="3" eb="4">
      <t>ゴウ</t>
    </rPh>
    <phoneticPr fontId="1"/>
  </si>
  <si>
    <t>～</t>
    <phoneticPr fontId="1"/>
  </si>
  <si>
    <t>～</t>
    <phoneticPr fontId="1"/>
  </si>
  <si>
    <t>40歳適用開始</t>
    <rPh sb="2" eb="3">
      <t>サイ</t>
    </rPh>
    <rPh sb="3" eb="5">
      <t>テキヨウ</t>
    </rPh>
    <rPh sb="5" eb="7">
      <t>カイシ</t>
    </rPh>
    <phoneticPr fontId="1"/>
  </si>
  <si>
    <t>65歳適用終了</t>
    <phoneticPr fontId="1"/>
  </si>
  <si>
    <t>加入は1</t>
    <rPh sb="0" eb="2">
      <t>カニュウ</t>
    </rPh>
    <phoneticPr fontId="1"/>
  </si>
  <si>
    <t>賦課が発生する月数（加入月～3月）</t>
    <rPh sb="10" eb="12">
      <t>カニュウ</t>
    </rPh>
    <rPh sb="12" eb="13">
      <t>ツキ</t>
    </rPh>
    <phoneticPr fontId="1"/>
  </si>
  <si>
    <t>賦課が発生する月数（4～3月）</t>
    <rPh sb="0" eb="2">
      <t>フカ</t>
    </rPh>
    <rPh sb="3" eb="5">
      <t>ハッセイ</t>
    </rPh>
    <rPh sb="13" eb="14">
      <t>ガツ</t>
    </rPh>
    <phoneticPr fontId="1"/>
  </si>
  <si>
    <t>加入月</t>
    <rPh sb="0" eb="2">
      <t>カニュウ</t>
    </rPh>
    <rPh sb="2" eb="3">
      <t>ツキ</t>
    </rPh>
    <phoneticPr fontId="1"/>
  </si>
  <si>
    <t>必要月数分</t>
    <rPh sb="0" eb="2">
      <t>ヒツヨウ</t>
    </rPh>
    <rPh sb="2" eb="4">
      <t>ツキスウ</t>
    </rPh>
    <rPh sb="4" eb="5">
      <t>ブン</t>
    </rPh>
    <phoneticPr fontId="1"/>
  </si>
  <si>
    <t>住民税賦課期日</t>
    <rPh sb="0" eb="3">
      <t>ジュウミンゼイ</t>
    </rPh>
    <rPh sb="3" eb="5">
      <t>フカ</t>
    </rPh>
    <rPh sb="5" eb="7">
      <t>キジツ</t>
    </rPh>
    <phoneticPr fontId="1"/>
  </si>
  <si>
    <t>生年月日</t>
    <rPh sb="0" eb="4">
      <t>セイネンガッピ</t>
    </rPh>
    <phoneticPr fontId="1"/>
  </si>
  <si>
    <t>年金65フラグ</t>
    <rPh sb="0" eb="2">
      <t>ネンキン</t>
    </rPh>
    <phoneticPr fontId="1"/>
  </si>
  <si>
    <t>住民税賦課期日65歳以上</t>
    <rPh sb="0" eb="3">
      <t>ジュウミンゼイ</t>
    </rPh>
    <rPh sb="3" eb="5">
      <t>フカ</t>
    </rPh>
    <rPh sb="5" eb="7">
      <t>キジツ</t>
    </rPh>
    <rPh sb="9" eb="10">
      <t>サイ</t>
    </rPh>
    <rPh sb="10" eb="12">
      <t>イジョウ</t>
    </rPh>
    <phoneticPr fontId="1"/>
  </si>
  <si>
    <t>世帯員１</t>
    <rPh sb="0" eb="3">
      <t>セタイイン</t>
    </rPh>
    <phoneticPr fontId="1"/>
  </si>
  <si>
    <t>世帯員２</t>
    <rPh sb="0" eb="3">
      <t>セタイイン</t>
    </rPh>
    <phoneticPr fontId="1"/>
  </si>
  <si>
    <t>世帯員３</t>
    <rPh sb="0" eb="3">
      <t>セタイイン</t>
    </rPh>
    <phoneticPr fontId="1"/>
  </si>
  <si>
    <t>世帯員４</t>
    <rPh sb="0" eb="3">
      <t>セタイイン</t>
    </rPh>
    <phoneticPr fontId="1"/>
  </si>
  <si>
    <t>世帯員５</t>
    <rPh sb="0" eb="3">
      <t>セタイイン</t>
    </rPh>
    <phoneticPr fontId="1"/>
  </si>
  <si>
    <t>世帯員６</t>
    <rPh sb="0" eb="3">
      <t>セタイイン</t>
    </rPh>
    <phoneticPr fontId="1"/>
  </si>
  <si>
    <t>世帯員７</t>
    <rPh sb="0" eb="3">
      <t>セタイイン</t>
    </rPh>
    <phoneticPr fontId="1"/>
  </si>
  <si>
    <t>世帯員８</t>
    <rPh sb="0" eb="3">
      <t>セタイイン</t>
    </rPh>
    <phoneticPr fontId="1"/>
  </si>
  <si>
    <t>世帯員９</t>
    <rPh sb="0" eb="3">
      <t>セタイイン</t>
    </rPh>
    <phoneticPr fontId="1"/>
  </si>
  <si>
    <t>・世帯主と加入する方以外の枠は空欄にして下さい。</t>
    <rPh sb="1" eb="4">
      <t>セタイヌシ</t>
    </rPh>
    <rPh sb="5" eb="7">
      <t>カニュウ</t>
    </rPh>
    <rPh sb="9" eb="10">
      <t>カタ</t>
    </rPh>
    <rPh sb="10" eb="12">
      <t>イガイ</t>
    </rPh>
    <rPh sb="13" eb="14">
      <t>ワク</t>
    </rPh>
    <rPh sb="20" eb="21">
      <t>クダ</t>
    </rPh>
    <phoneticPr fontId="1"/>
  </si>
  <si>
    <t>●本年度の国民健康保険税</t>
    <rPh sb="1" eb="4">
      <t>ホンネンド</t>
    </rPh>
    <rPh sb="5" eb="7">
      <t>コクミン</t>
    </rPh>
    <rPh sb="7" eb="9">
      <t>ケンコウ</t>
    </rPh>
    <rPh sb="9" eb="11">
      <t>ホケン</t>
    </rPh>
    <rPh sb="11" eb="12">
      <t>ゼイ</t>
    </rPh>
    <phoneticPr fontId="1"/>
  </si>
  <si>
    <t>最初に、こちらをよくご覧下さい</t>
    <rPh sb="0" eb="2">
      <t>サイショ</t>
    </rPh>
    <rPh sb="11" eb="12">
      <t>ラン</t>
    </rPh>
    <rPh sb="12" eb="13">
      <t>クダ</t>
    </rPh>
    <phoneticPr fontId="1"/>
  </si>
  <si>
    <t>※注意事項※</t>
    <rPh sb="1" eb="3">
      <t>チュウイ</t>
    </rPh>
    <rPh sb="3" eb="5">
      <t>ジコウ</t>
    </rPh>
    <phoneticPr fontId="1"/>
  </si>
  <si>
    <t xml:space="preserve">
</t>
    <phoneticPr fontId="1"/>
  </si>
  <si>
    <t>〇国の軽減制度</t>
    <phoneticPr fontId="1"/>
  </si>
  <si>
    <t>世帯の前年所得金額の合計が下記の表にあてはまる場合、その金額に応じて均等割・平等割の金額から7割・5割・2割を減額します。</t>
    <phoneticPr fontId="1"/>
  </si>
  <si>
    <r>
      <t>●</t>
    </r>
    <r>
      <rPr>
        <b/>
        <u/>
        <sz val="14"/>
        <color theme="1"/>
        <rFont val="游ゴシック"/>
        <family val="3"/>
        <charset val="128"/>
      </rPr>
      <t>世帯主</t>
    </r>
    <r>
      <rPr>
        <b/>
        <sz val="14"/>
        <color theme="1"/>
        <rFont val="游ゴシック"/>
        <family val="3"/>
        <charset val="128"/>
      </rPr>
      <t>　と　</t>
    </r>
    <r>
      <rPr>
        <b/>
        <u/>
        <sz val="14"/>
        <color theme="1"/>
        <rFont val="游ゴシック"/>
        <family val="3"/>
        <charset val="128"/>
      </rPr>
      <t>新規で加入する方</t>
    </r>
    <r>
      <rPr>
        <b/>
        <sz val="14"/>
        <color theme="1"/>
        <rFont val="游ゴシック"/>
        <family val="3"/>
        <charset val="128"/>
      </rPr>
      <t>　の生年月日と前年の総所得金額等</t>
    </r>
    <rPh sb="1" eb="4">
      <t>セタイヌシ</t>
    </rPh>
    <rPh sb="7" eb="9">
      <t>シンキ</t>
    </rPh>
    <rPh sb="10" eb="12">
      <t>カニュウ</t>
    </rPh>
    <rPh sb="14" eb="15">
      <t>カタ</t>
    </rPh>
    <rPh sb="17" eb="21">
      <t>セイネンガッピ</t>
    </rPh>
    <rPh sb="22" eb="24">
      <t>ゼンネン</t>
    </rPh>
    <rPh sb="25" eb="28">
      <t>ソウショトク</t>
    </rPh>
    <rPh sb="28" eb="30">
      <t>キンガク</t>
    </rPh>
    <rPh sb="30" eb="31">
      <t>トウ</t>
    </rPh>
    <phoneticPr fontId="1"/>
  </si>
  <si>
    <t>7割</t>
    <rPh sb="1" eb="2">
      <t>ワリ</t>
    </rPh>
    <phoneticPr fontId="1"/>
  </si>
  <si>
    <t>算定基礎</t>
    <rPh sb="0" eb="4">
      <t>サンテイキソ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</si>
  <si>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</si>
  <si>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</si>
  <si>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</si>
  <si>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</si>
  <si>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</si>
  <si>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～3月までを概算</t>
    <phoneticPr fontId="1"/>
  </si>
  <si>
    <t>軽減</t>
    <rPh sb="0" eb="2">
      <t>ケイゲン</t>
    </rPh>
    <phoneticPr fontId="1"/>
  </si>
  <si>
    <t>軽減後</t>
    <rPh sb="0" eb="3">
      <t>ケイゲンゴ</t>
    </rPh>
    <phoneticPr fontId="1"/>
  </si>
  <si>
    <t>未：軽減</t>
    <rPh sb="0" eb="1">
      <t>ミ</t>
    </rPh>
    <rPh sb="2" eb="4">
      <t>ケイゲン</t>
    </rPh>
    <phoneticPr fontId="1"/>
  </si>
  <si>
    <t>均等</t>
    <rPh sb="0" eb="2">
      <t>キントウ</t>
    </rPh>
    <phoneticPr fontId="1"/>
  </si>
  <si>
    <t>軽減：未</t>
    <rPh sb="0" eb="2">
      <t>ケイゲン</t>
    </rPh>
    <rPh sb="3" eb="4">
      <t>ミ</t>
    </rPh>
    <phoneticPr fontId="1"/>
  </si>
  <si>
    <t>軽減表記</t>
    <rPh sb="0" eb="2">
      <t>ケイゲン</t>
    </rPh>
    <rPh sb="2" eb="4">
      <t>ヒョウキ</t>
    </rPh>
    <phoneticPr fontId="1"/>
  </si>
  <si>
    <t>※未就学児均等割軽減適用後の税額です。</t>
    <rPh sb="1" eb="5">
      <t>ミシュウガクジ</t>
    </rPh>
    <rPh sb="5" eb="8">
      <t>キントウワ</t>
    </rPh>
    <rPh sb="8" eb="10">
      <t>ケイゲン</t>
    </rPh>
    <rPh sb="10" eb="13">
      <t>テキヨウゴ</t>
    </rPh>
    <rPh sb="14" eb="16">
      <t>ゼイガク</t>
    </rPh>
    <phoneticPr fontId="1"/>
  </si>
  <si>
    <t>未就学児均等割軽減</t>
    <rPh sb="0" eb="4">
      <t>ミシュウガクジ</t>
    </rPh>
    <rPh sb="4" eb="7">
      <t>キントウワ</t>
    </rPh>
    <rPh sb="7" eb="9">
      <t>ケイゲン</t>
    </rPh>
    <phoneticPr fontId="1"/>
  </si>
  <si>
    <t>未就学児（6歳に達する日以後の最初の3月31日以前である被保険者）にかかる均等割について、その5割を軽減します。ただし、上記の7～2割の軽減が適用されている場合は、その残額に対して5割を軽減します。</t>
    <rPh sb="0" eb="4">
      <t>ミシュウガクジ</t>
    </rPh>
    <rPh sb="6" eb="7">
      <t>サイ</t>
    </rPh>
    <rPh sb="8" eb="9">
      <t>タッ</t>
    </rPh>
    <rPh sb="11" eb="12">
      <t>ヒ</t>
    </rPh>
    <rPh sb="12" eb="14">
      <t>イゴ</t>
    </rPh>
    <rPh sb="15" eb="17">
      <t>サイショ</t>
    </rPh>
    <rPh sb="19" eb="20">
      <t>ガツ</t>
    </rPh>
    <rPh sb="22" eb="23">
      <t>ニチ</t>
    </rPh>
    <rPh sb="23" eb="25">
      <t>イゼン</t>
    </rPh>
    <rPh sb="28" eb="32">
      <t>ヒホケンシャ</t>
    </rPh>
    <rPh sb="37" eb="40">
      <t>キントウワリ</t>
    </rPh>
    <rPh sb="48" eb="49">
      <t>ワリ</t>
    </rPh>
    <rPh sb="50" eb="52">
      <t>ケイゲン</t>
    </rPh>
    <rPh sb="60" eb="62">
      <t>ジョウキ</t>
    </rPh>
    <rPh sb="66" eb="67">
      <t>ワリ</t>
    </rPh>
    <rPh sb="68" eb="70">
      <t>ケイゲン</t>
    </rPh>
    <rPh sb="71" eb="73">
      <t>テキヨウ</t>
    </rPh>
    <rPh sb="78" eb="80">
      <t>バアイ</t>
    </rPh>
    <rPh sb="84" eb="86">
      <t>ザンガク</t>
    </rPh>
    <rPh sb="87" eb="88">
      <t>タイ</t>
    </rPh>
    <rPh sb="91" eb="92">
      <t>ワリ</t>
    </rPh>
    <rPh sb="93" eb="95">
      <t>ケイゲン</t>
    </rPh>
    <phoneticPr fontId="1"/>
  </si>
  <si>
    <t>有効フラグ</t>
    <rPh sb="0" eb="2">
      <t>ユウコウ</t>
    </rPh>
    <phoneticPr fontId="1"/>
  </si>
  <si>
    <t>無効表記</t>
    <rPh sb="0" eb="2">
      <t>ムコウ</t>
    </rPh>
    <rPh sb="2" eb="4">
      <t>ヒョウキ</t>
    </rPh>
    <phoneticPr fontId="1"/>
  </si>
  <si>
    <t>世帯主の情報が未入力です。</t>
    <rPh sb="0" eb="3">
      <t>セタイヌシ</t>
    </rPh>
    <rPh sb="4" eb="6">
      <t>ジョウホウ</t>
    </rPh>
    <rPh sb="7" eb="10">
      <t>ミニュウリョク</t>
    </rPh>
    <phoneticPr fontId="1"/>
  </si>
  <si>
    <t>・軽減判定に影響するため、世帯主の収入・所得も必ず入力してください。</t>
    <rPh sb="1" eb="5">
      <t>ケイゲンハンテイ</t>
    </rPh>
    <rPh sb="6" eb="8">
      <t>エイキョウ</t>
    </rPh>
    <rPh sb="13" eb="16">
      <t>セタイヌシ</t>
    </rPh>
    <rPh sb="17" eb="19">
      <t>シュウニュウ</t>
    </rPh>
    <rPh sb="20" eb="22">
      <t>ショトク</t>
    </rPh>
    <rPh sb="23" eb="24">
      <t>カナラ</t>
    </rPh>
    <rPh sb="25" eb="27">
      <t>ニュウリョク</t>
    </rPh>
    <phoneticPr fontId="1"/>
  </si>
  <si>
    <t>・今年度75歳になられる方は誕生日から後期高齢者医療となるため、この</t>
    <rPh sb="1" eb="4">
      <t>コンネンド</t>
    </rPh>
    <rPh sb="12" eb="13">
      <t>カタ</t>
    </rPh>
    <rPh sb="14" eb="17">
      <t>タンジョウビ</t>
    </rPh>
    <rPh sb="23" eb="24">
      <t>シャ</t>
    </rPh>
    <phoneticPr fontId="1"/>
  </si>
  <si>
    <t>　計算シートでは計算できません。また、既に75歳以上の方及び国保に加入</t>
    <rPh sb="23" eb="24">
      <t>サイ</t>
    </rPh>
    <rPh sb="24" eb="26">
      <t>イジョウ</t>
    </rPh>
    <rPh sb="27" eb="28">
      <t>カタ</t>
    </rPh>
    <rPh sb="28" eb="29">
      <t>オヨ</t>
    </rPh>
    <phoneticPr fontId="1"/>
  </si>
  <si>
    <t>　している方がいる場合も正しく計算されません。</t>
    <phoneticPr fontId="1"/>
  </si>
  <si>
    <t>加入の入力あり</t>
    <rPh sb="0" eb="2">
      <t>カニュウ</t>
    </rPh>
    <rPh sb="3" eb="5">
      <t>ニュウリョク</t>
    </rPh>
    <phoneticPr fontId="1"/>
  </si>
  <si>
    <t>有効フラグ判定：OKなら1</t>
    <rPh sb="0" eb="2">
      <t>ユウコウ</t>
    </rPh>
    <rPh sb="5" eb="7">
      <t>ハンテイ</t>
    </rPh>
    <phoneticPr fontId="1"/>
  </si>
  <si>
    <t>年号入力あり</t>
    <rPh sb="0" eb="2">
      <t>ネンゴウ</t>
    </rPh>
    <rPh sb="2" eb="4">
      <t>ニュウリョク</t>
    </rPh>
    <phoneticPr fontId="1"/>
  </si>
  <si>
    <t>年入力あり</t>
    <rPh sb="0" eb="1">
      <t>ネン</t>
    </rPh>
    <rPh sb="1" eb="3">
      <t>ニュウリョク</t>
    </rPh>
    <phoneticPr fontId="1"/>
  </si>
  <si>
    <t>月入力あり</t>
    <rPh sb="0" eb="1">
      <t>ツキ</t>
    </rPh>
    <rPh sb="1" eb="3">
      <t>ニュウリョク</t>
    </rPh>
    <phoneticPr fontId="1"/>
  </si>
  <si>
    <t>日入力あり</t>
    <rPh sb="0" eb="1">
      <t>ニチ</t>
    </rPh>
    <rPh sb="1" eb="3">
      <t>ニュウリョク</t>
    </rPh>
    <phoneticPr fontId="1"/>
  </si>
  <si>
    <t>判定なし</t>
    <rPh sb="0" eb="2">
      <t>ハンテイ</t>
    </rPh>
    <phoneticPr fontId="1"/>
  </si>
  <si>
    <t>生年月日が１年後以内</t>
    <rPh sb="0" eb="4">
      <t>セイネンガッピ</t>
    </rPh>
    <rPh sb="6" eb="8">
      <t>ネンゴ</t>
    </rPh>
    <rPh sb="8" eb="10">
      <t>イナイ</t>
    </rPh>
    <phoneticPr fontId="1"/>
  </si>
  <si>
    <t>加入するの場合生年月日が74以前</t>
    <rPh sb="0" eb="2">
      <t>カニュウ</t>
    </rPh>
    <rPh sb="5" eb="7">
      <t>バアイ</t>
    </rPh>
    <rPh sb="7" eb="11">
      <t>セイネンガッピ</t>
    </rPh>
    <rPh sb="14" eb="16">
      <t>イゼン</t>
    </rPh>
    <phoneticPr fontId="1"/>
  </si>
  <si>
    <t>賦課期日時点75</t>
    <rPh sb="0" eb="6">
      <t>フカキジツジテン</t>
    </rPh>
    <phoneticPr fontId="1"/>
  </si>
  <si>
    <t>判定</t>
    <rPh sb="0" eb="2">
      <t>ハンテイ</t>
    </rPh>
    <phoneticPr fontId="1"/>
  </si>
  <si>
    <r>
      <t>給与</t>
    </r>
    <r>
      <rPr>
        <b/>
        <sz val="12"/>
        <color theme="1"/>
        <rFont val="游ゴシック"/>
        <family val="3"/>
        <charset val="128"/>
      </rPr>
      <t>収入</t>
    </r>
    <rPh sb="0" eb="2">
      <t>キュウヨ</t>
    </rPh>
    <rPh sb="2" eb="4">
      <t>シュウニュウ</t>
    </rPh>
    <phoneticPr fontId="1"/>
  </si>
  <si>
    <r>
      <t>年金</t>
    </r>
    <r>
      <rPr>
        <b/>
        <sz val="12"/>
        <color theme="1"/>
        <rFont val="游ゴシック"/>
        <family val="3"/>
        <charset val="128"/>
      </rPr>
      <t>収入</t>
    </r>
    <rPh sb="0" eb="2">
      <t>ネンキン</t>
    </rPh>
    <rPh sb="2" eb="4">
      <t>シュウニュウ</t>
    </rPh>
    <phoneticPr fontId="1"/>
  </si>
  <si>
    <r>
      <t>給与-年金以外の</t>
    </r>
    <r>
      <rPr>
        <b/>
        <sz val="12"/>
        <color theme="1"/>
        <rFont val="游ゴシック"/>
        <family val="3"/>
        <charset val="128"/>
      </rPr>
      <t>所得</t>
    </r>
    <rPh sb="0" eb="2">
      <t>キュウヨ</t>
    </rPh>
    <rPh sb="3" eb="5">
      <t>ネンキン</t>
    </rPh>
    <rPh sb="5" eb="7">
      <t>イガイ</t>
    </rPh>
    <rPh sb="8" eb="10">
      <t>ショトク</t>
    </rPh>
    <phoneticPr fontId="1"/>
  </si>
  <si>
    <r>
      <t>所得</t>
    </r>
    <r>
      <rPr>
        <sz val="12"/>
        <color theme="1"/>
        <rFont val="游ゴシック"/>
        <family val="3"/>
        <charset val="128"/>
      </rPr>
      <t>合計</t>
    </r>
    <rPh sb="0" eb="2">
      <t>ショトク</t>
    </rPh>
    <rPh sb="2" eb="4">
      <t>ゴウケイ</t>
    </rPh>
    <phoneticPr fontId="1"/>
  </si>
  <si>
    <t>計算
対象</t>
    <rPh sb="0" eb="2">
      <t>ケイサン</t>
    </rPh>
    <rPh sb="3" eb="5">
      <t>タイショウ</t>
    </rPh>
    <phoneticPr fontId="1"/>
  </si>
  <si>
    <t>世帯主は加入しますか？</t>
    <rPh sb="0" eb="3">
      <t>セタイヌシ</t>
    </rPh>
    <rPh sb="4" eb="6">
      <t>カニュウ</t>
    </rPh>
    <phoneticPr fontId="1"/>
  </si>
  <si>
    <t>か月分</t>
    <phoneticPr fontId="1"/>
  </si>
  <si>
    <t>・この概算表では市の独自減免は適用されておりません。実際には所得等の</t>
    <rPh sb="3" eb="6">
      <t>ガイサンヒョウ</t>
    </rPh>
    <rPh sb="8" eb="9">
      <t>シ</t>
    </rPh>
    <rPh sb="10" eb="12">
      <t>ドクジ</t>
    </rPh>
    <rPh sb="12" eb="14">
      <t>ゲンメン</t>
    </rPh>
    <rPh sb="15" eb="17">
      <t>テキヨウ</t>
    </rPh>
    <rPh sb="26" eb="28">
      <t>ジッサイ</t>
    </rPh>
    <rPh sb="30" eb="32">
      <t>ショトク</t>
    </rPh>
    <rPh sb="32" eb="33">
      <t>ナド</t>
    </rPh>
    <phoneticPr fontId="1"/>
  </si>
  <si>
    <t>　状況により、適用される場合があります。</t>
    <phoneticPr fontId="1"/>
  </si>
  <si>
    <t>・この概算表で計算した税額については概算になります。</t>
    <rPh sb="3" eb="5">
      <t>ガイサン</t>
    </rPh>
    <rPh sb="5" eb="6">
      <t>ヒョウ</t>
    </rPh>
    <rPh sb="7" eb="9">
      <t>ケイサン</t>
    </rPh>
    <rPh sb="11" eb="13">
      <t>ゼイガク</t>
    </rPh>
    <rPh sb="18" eb="20">
      <t>ガイサン</t>
    </rPh>
    <phoneticPr fontId="1"/>
  </si>
  <si>
    <t>　・土地等譲渡の際に特別控除を適用した場合</t>
    <rPh sb="2" eb="5">
      <t>トチトウ</t>
    </rPh>
    <rPh sb="5" eb="7">
      <t>ジョウト</t>
    </rPh>
    <rPh sb="8" eb="9">
      <t>サイ</t>
    </rPh>
    <rPh sb="10" eb="14">
      <t>トクベツコウジョ</t>
    </rPh>
    <rPh sb="15" eb="17">
      <t>テキヨウ</t>
    </rPh>
    <rPh sb="19" eb="21">
      <t>バアイ</t>
    </rPh>
    <phoneticPr fontId="1"/>
  </si>
  <si>
    <t>　・入力した所得等が実際とは異なる場合　・専従者給与/控除がある場合</t>
    <rPh sb="8" eb="9">
      <t>トウ</t>
    </rPh>
    <rPh sb="10" eb="12">
      <t>ジッサイ</t>
    </rPh>
    <rPh sb="27" eb="29">
      <t>コウジョ</t>
    </rPh>
    <phoneticPr fontId="1"/>
  </si>
  <si>
    <t>5割軽減</t>
    <rPh sb="1" eb="2">
      <t>ワリ</t>
    </rPh>
    <rPh sb="2" eb="4">
      <t>ケイゲン</t>
    </rPh>
    <phoneticPr fontId="1"/>
  </si>
  <si>
    <t>2割軽減</t>
    <rPh sb="1" eb="2">
      <t>ワリ</t>
    </rPh>
    <rPh sb="2" eb="4">
      <t>ケイゲン</t>
    </rPh>
    <phoneticPr fontId="1"/>
  </si>
  <si>
    <t>軽減の人数加算額</t>
    <rPh sb="0" eb="2">
      <t>ケイゲン</t>
    </rPh>
    <rPh sb="3" eb="5">
      <t>ニンズウ</t>
    </rPh>
    <rPh sb="5" eb="8">
      <t>カサンガク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</si>
  <si>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</si>
  <si>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</si>
  <si>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</si>
  <si>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</si>
  <si>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</si>
  <si>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</si>
  <si>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</si>
  <si>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</si>
  <si>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</si>
  <si>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</si>
  <si>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</si>
  <si>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</si>
  <si>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加入期間</t>
    <rPh sb="0" eb="4">
      <t>カニュウキカン</t>
    </rPh>
    <phoneticPr fontId="1"/>
  </si>
  <si>
    <t>月～3月</t>
    <rPh sb="0" eb="1">
      <t>ガツ</t>
    </rPh>
    <rPh sb="3" eb="4">
      <t>ガツ</t>
    </rPh>
    <phoneticPr fontId="1"/>
  </si>
  <si>
    <t>変換</t>
    <rPh sb="0" eb="2">
      <t>ヘンカン</t>
    </rPh>
    <phoneticPr fontId="1"/>
  </si>
  <si>
    <t>生年月日</t>
    <rPh sb="0" eb="4">
      <t>セイネンガッピ</t>
    </rPh>
    <phoneticPr fontId="1"/>
  </si>
  <si>
    <t>～15</t>
    <phoneticPr fontId="1"/>
  </si>
  <si>
    <t>65判定</t>
    <rPh sb="2" eb="4">
      <t>ハンテイ</t>
    </rPh>
    <phoneticPr fontId="1"/>
  </si>
  <si>
    <t>算定基礎</t>
    <rPh sb="0" eb="2">
      <t>サンテイ</t>
    </rPh>
    <rPh sb="2" eb="4">
      <t>キソ</t>
    </rPh>
    <phoneticPr fontId="1"/>
  </si>
  <si>
    <t>所得割（月割）</t>
    <rPh sb="0" eb="3">
      <t>ショトクワリ</t>
    </rPh>
    <rPh sb="4" eb="6">
      <t>ツキワ</t>
    </rPh>
    <phoneticPr fontId="1"/>
  </si>
  <si>
    <t>②＋③介護分合計</t>
    <rPh sb="3" eb="5">
      <t>カイゴ</t>
    </rPh>
    <rPh sb="5" eb="6">
      <t>ブン</t>
    </rPh>
    <rPh sb="6" eb="8">
      <t>ゴウケイ</t>
    </rPh>
    <phoneticPr fontId="1"/>
  </si>
  <si>
    <t>限度額月割</t>
    <rPh sb="0" eb="3">
      <t>ゲンドガク</t>
    </rPh>
    <rPh sb="3" eb="5">
      <t>ツキワ</t>
    </rPh>
    <phoneticPr fontId="1"/>
  </si>
  <si>
    <t>小さい方</t>
    <rPh sb="0" eb="1">
      <t>チイ</t>
    </rPh>
    <rPh sb="3" eb="4">
      <t>ホウ</t>
    </rPh>
    <phoneticPr fontId="1"/>
  </si>
  <si>
    <t>計</t>
    <rPh sb="0" eb="1">
      <t>ケイ</t>
    </rPh>
    <phoneticPr fontId="1"/>
  </si>
  <si>
    <t>限度額超過分</t>
    <rPh sb="0" eb="6">
      <t>ゲンドガクチョウカブン</t>
    </rPh>
    <phoneticPr fontId="1"/>
  </si>
  <si>
    <t>介護2号判定シート参照</t>
    <rPh sb="0" eb="2">
      <t>カイゴ</t>
    </rPh>
    <rPh sb="3" eb="4">
      <t>ゴウ</t>
    </rPh>
    <rPh sb="4" eb="6">
      <t>ハンテイ</t>
    </rPh>
    <rPh sb="9" eb="11">
      <t>サンショウ</t>
    </rPh>
    <phoneticPr fontId="1"/>
  </si>
  <si>
    <t>介護2号判定シート参照</t>
    <phoneticPr fontId="1"/>
  </si>
  <si>
    <t>軽減後</t>
    <rPh sb="0" eb="3">
      <t>ケイゲンゴ</t>
    </rPh>
    <phoneticPr fontId="1"/>
  </si>
  <si>
    <t>均等割（月額）</t>
    <rPh sb="0" eb="3">
      <t>キントウワリ</t>
    </rPh>
    <rPh sb="4" eb="6">
      <t>ゲツガク</t>
    </rPh>
    <phoneticPr fontId="1"/>
  </si>
  <si>
    <t>平等割（月額）</t>
    <rPh sb="0" eb="3">
      <t>ビョウドウワリ</t>
    </rPh>
    <rPh sb="4" eb="6">
      <t>ゲツガク</t>
    </rPh>
    <phoneticPr fontId="1"/>
  </si>
  <si>
    <t>介護分の月数</t>
    <rPh sb="0" eb="2">
      <t>カイゴ</t>
    </rPh>
    <rPh sb="2" eb="3">
      <t>ブン</t>
    </rPh>
    <rPh sb="4" eb="6">
      <t>ツキスウ</t>
    </rPh>
    <phoneticPr fontId="1"/>
  </si>
  <si>
    <t>加入期間（医療分、支援分賦課期間）</t>
    <rPh sb="0" eb="4">
      <t>カニュウキカン</t>
    </rPh>
    <rPh sb="5" eb="7">
      <t>イリョウ</t>
    </rPh>
    <rPh sb="7" eb="8">
      <t>ブン</t>
    </rPh>
    <rPh sb="9" eb="11">
      <t>シエン</t>
    </rPh>
    <rPh sb="11" eb="12">
      <t>ブン</t>
    </rPh>
    <rPh sb="12" eb="14">
      <t>フカ</t>
    </rPh>
    <rPh sb="14" eb="16">
      <t>キカン</t>
    </rPh>
    <phoneticPr fontId="1"/>
  </si>
  <si>
    <t>介護分賦課期間</t>
    <rPh sb="0" eb="2">
      <t>カイゴ</t>
    </rPh>
    <rPh sb="2" eb="3">
      <t>ブン</t>
    </rPh>
    <rPh sb="3" eb="5">
      <t>フカ</t>
    </rPh>
    <rPh sb="5" eb="7">
      <t>キカン</t>
    </rPh>
    <phoneticPr fontId="1"/>
  </si>
  <si>
    <t>①介護所得割</t>
    <rPh sb="1" eb="3">
      <t>カイゴ</t>
    </rPh>
    <rPh sb="3" eb="6">
      <t>ショトクワリ</t>
    </rPh>
    <phoneticPr fontId="1"/>
  </si>
  <si>
    <t>介護人数</t>
    <rPh sb="0" eb="2">
      <t>カイゴ</t>
    </rPh>
    <rPh sb="2" eb="4">
      <t>ニンズウ</t>
    </rPh>
    <phoneticPr fontId="1"/>
  </si>
  <si>
    <t>②介護均等割</t>
    <rPh sb="1" eb="3">
      <t>カイゴ</t>
    </rPh>
    <rPh sb="3" eb="6">
      <t>キントウワリ</t>
    </rPh>
    <phoneticPr fontId="1"/>
  </si>
  <si>
    <t>③介護平等割</t>
    <rPh sb="1" eb="3">
      <t>カイゴ</t>
    </rPh>
    <rPh sb="3" eb="6">
      <t>ビョウドウワリ</t>
    </rPh>
    <phoneticPr fontId="1"/>
  </si>
  <si>
    <t>軽減割合</t>
    <rPh sb="0" eb="4">
      <t>ケイゲンワリアイ</t>
    </rPh>
    <phoneticPr fontId="1"/>
  </si>
  <si>
    <t>計</t>
    <rPh sb="0" eb="1">
      <t>ケイ</t>
    </rPh>
    <phoneticPr fontId="1"/>
  </si>
  <si>
    <t>-</t>
    <phoneticPr fontId="1"/>
  </si>
  <si>
    <t>④軽減均等割</t>
    <rPh sb="1" eb="3">
      <t>ケイゲン</t>
    </rPh>
    <rPh sb="3" eb="6">
      <t>キントウワリ</t>
    </rPh>
    <phoneticPr fontId="1"/>
  </si>
  <si>
    <t>⑤軽減平等割</t>
    <rPh sb="1" eb="3">
      <t>ケイゲン</t>
    </rPh>
    <rPh sb="3" eb="6">
      <t>ビョウドウワリ</t>
    </rPh>
    <phoneticPr fontId="1"/>
  </si>
  <si>
    <t>①＋②＋③</t>
    <phoneticPr fontId="1"/>
  </si>
  <si>
    <t>④＋⑤</t>
    <phoneticPr fontId="1"/>
  </si>
  <si>
    <t>基礎課税額⑥</t>
    <rPh sb="0" eb="2">
      <t>キソ</t>
    </rPh>
    <rPh sb="2" eb="4">
      <t>カゼイ</t>
    </rPh>
    <rPh sb="4" eb="5">
      <t>ガク</t>
    </rPh>
    <phoneticPr fontId="1"/>
  </si>
  <si>
    <t>軽減額⑦</t>
    <rPh sb="0" eb="2">
      <t>ケイゲン</t>
    </rPh>
    <rPh sb="2" eb="3">
      <t>ガク</t>
    </rPh>
    <phoneticPr fontId="1"/>
  </si>
  <si>
    <t>⑥ー⑦</t>
    <phoneticPr fontId="1"/>
  </si>
  <si>
    <t>限度超過額</t>
    <rPh sb="0" eb="4">
      <t>ゲンドチョウカ</t>
    </rPh>
    <rPh sb="4" eb="5">
      <t>ガク</t>
    </rPh>
    <phoneticPr fontId="1"/>
  </si>
  <si>
    <t>　などの場合、実際の税額と異なる場合があります。</t>
    <rPh sb="4" eb="6">
      <t>バアイ</t>
    </rPh>
    <rPh sb="7" eb="9">
      <t>ジッサイ</t>
    </rPh>
    <phoneticPr fontId="1"/>
  </si>
  <si>
    <t>加入する</t>
  </si>
  <si>
    <t>後期高齢者
支援金分</t>
    <rPh sb="0" eb="2">
      <t>コウキ</t>
    </rPh>
    <rPh sb="2" eb="5">
      <t>コウレイシャ</t>
    </rPh>
    <rPh sb="6" eb="8">
      <t>シエン</t>
    </rPh>
    <rPh sb="8" eb="9">
      <t>キン</t>
    </rPh>
    <rPh sb="9" eb="10">
      <t>ブン</t>
    </rPh>
    <phoneticPr fontId="1"/>
  </si>
  <si>
    <r>
      <t xml:space="preserve">介護分
</t>
    </r>
    <r>
      <rPr>
        <sz val="10"/>
        <color theme="1"/>
        <rFont val="游ゴシック"/>
        <family val="3"/>
        <charset val="128"/>
      </rPr>
      <t>40～64歳の方</t>
    </r>
    <rPh sb="0" eb="2">
      <t>カイゴ</t>
    </rPh>
    <rPh sb="2" eb="3">
      <t>ブン</t>
    </rPh>
    <rPh sb="9" eb="10">
      <t>サイ</t>
    </rPh>
    <rPh sb="11" eb="12">
      <t>カタ</t>
    </rPh>
    <phoneticPr fontId="1"/>
  </si>
  <si>
    <t>被保険者均等割額</t>
    <rPh sb="0" eb="4">
      <t>ヒホケンシャ</t>
    </rPh>
    <rPh sb="4" eb="7">
      <t>キントウワ</t>
    </rPh>
    <rPh sb="7" eb="8">
      <t>ガク</t>
    </rPh>
    <phoneticPr fontId="1"/>
  </si>
  <si>
    <t>世帯別平等割額</t>
    <rPh sb="0" eb="2">
      <t>セタイ</t>
    </rPh>
    <rPh sb="2" eb="3">
      <t>ベツ</t>
    </rPh>
    <rPh sb="3" eb="5">
      <t>ビョウドウ</t>
    </rPh>
    <rPh sb="5" eb="6">
      <t>ワリ</t>
    </rPh>
    <rPh sb="6" eb="7">
      <t>ガク</t>
    </rPh>
    <phoneticPr fontId="1"/>
  </si>
  <si>
    <t>賦課限度超過額</t>
    <rPh sb="0" eb="2">
      <t>フカ</t>
    </rPh>
    <rPh sb="2" eb="4">
      <t>ゲンド</t>
    </rPh>
    <rPh sb="4" eb="6">
      <t>チョウカ</t>
    </rPh>
    <rPh sb="6" eb="7">
      <t>ガク</t>
    </rPh>
    <phoneticPr fontId="1"/>
  </si>
  <si>
    <t>軽減割合</t>
    <rPh sb="0" eb="2">
      <t>ケイゲン</t>
    </rPh>
    <rPh sb="2" eb="4">
      <t>ワリアイ</t>
    </rPh>
    <phoneticPr fontId="1"/>
  </si>
  <si>
    <r>
      <t>世帯の前年軽減判定所得</t>
    </r>
    <r>
      <rPr>
        <sz val="8"/>
        <color theme="1"/>
        <rFont val="游ゴシック"/>
        <family val="3"/>
        <charset val="128"/>
      </rPr>
      <t>※１</t>
    </r>
    <rPh sb="0" eb="2">
      <t>セタイ</t>
    </rPh>
    <rPh sb="3" eb="5">
      <t>ゼンネン</t>
    </rPh>
    <rPh sb="5" eb="7">
      <t>ケイゲン</t>
    </rPh>
    <rPh sb="7" eb="9">
      <t>ハンテイ</t>
    </rPh>
    <rPh sb="9" eb="11">
      <t>ショトク</t>
    </rPh>
    <phoneticPr fontId="1"/>
  </si>
  <si>
    <t>5割</t>
    <phoneticPr fontId="1"/>
  </si>
  <si>
    <t>2割</t>
    <phoneticPr fontId="1"/>
  </si>
  <si>
    <t>＋</t>
    <phoneticPr fontId="1"/>
  </si>
  <si>
    <t>43万円</t>
    <rPh sb="2" eb="4">
      <t>マンエン</t>
    </rPh>
    <phoneticPr fontId="1"/>
  </si>
  <si>
    <t>以下</t>
    <rPh sb="0" eb="2">
      <t>イカ</t>
    </rPh>
    <phoneticPr fontId="1"/>
  </si>
  <si>
    <t>※１</t>
    <phoneticPr fontId="1"/>
  </si>
  <si>
    <t>※２</t>
    <phoneticPr fontId="1"/>
  </si>
  <si>
    <t>※３</t>
    <phoneticPr fontId="1"/>
  </si>
  <si>
    <t>被保険者及び特定同一世帯所属者の数です</t>
    <rPh sb="0" eb="4">
      <t>ヒホケンシャ</t>
    </rPh>
    <rPh sb="4" eb="5">
      <t>オヨ</t>
    </rPh>
    <rPh sb="6" eb="8">
      <t>トクテイ</t>
    </rPh>
    <rPh sb="8" eb="10">
      <t>ドウイツ</t>
    </rPh>
    <rPh sb="10" eb="12">
      <t>セタイ</t>
    </rPh>
    <rPh sb="12" eb="14">
      <t>ショゾク</t>
    </rPh>
    <rPh sb="14" eb="15">
      <t>シャ</t>
    </rPh>
    <rPh sb="16" eb="17">
      <t>カズ</t>
    </rPh>
    <phoneticPr fontId="1"/>
  </si>
  <si>
    <t>均等割・平等割の軽減</t>
    <rPh sb="0" eb="3">
      <t>キントウワ</t>
    </rPh>
    <rPh sb="4" eb="6">
      <t>ビョウドウ</t>
    </rPh>
    <rPh sb="6" eb="7">
      <t>ワリ</t>
    </rPh>
    <rPh sb="8" eb="10">
      <t>ケイゲン</t>
    </rPh>
    <phoneticPr fontId="1"/>
  </si>
  <si>
    <t>又は公的年金の収入が60万円を超える65歳未満の方、公的年金の収入が125万円を超える65歳以上の方（年齢は1月1日時点）</t>
    <rPh sb="0" eb="1">
      <t>マタ</t>
    </rPh>
    <rPh sb="2" eb="4">
      <t>コウテキ</t>
    </rPh>
    <rPh sb="4" eb="6">
      <t>ネンキン</t>
    </rPh>
    <rPh sb="7" eb="9">
      <t>シュウニュウ</t>
    </rPh>
    <rPh sb="12" eb="14">
      <t>マンエン</t>
    </rPh>
    <rPh sb="15" eb="16">
      <t>コ</t>
    </rPh>
    <rPh sb="20" eb="21">
      <t>サイ</t>
    </rPh>
    <rPh sb="21" eb="23">
      <t>ミマン</t>
    </rPh>
    <rPh sb="24" eb="25">
      <t>カタ</t>
    </rPh>
    <rPh sb="26" eb="28">
      <t>コウテキ</t>
    </rPh>
    <rPh sb="28" eb="30">
      <t>ネンキン</t>
    </rPh>
    <rPh sb="31" eb="33">
      <t>シュウニュウ</t>
    </rPh>
    <rPh sb="37" eb="39">
      <t>マンエン</t>
    </rPh>
    <phoneticPr fontId="1"/>
  </si>
  <si>
    <t>の数を指します。該当者が0人の場合、下線部は0とみなします</t>
    <rPh sb="3" eb="4">
      <t>サ</t>
    </rPh>
    <rPh sb="8" eb="11">
      <t>ガイトウシャ</t>
    </rPh>
    <rPh sb="13" eb="14">
      <t>ニン</t>
    </rPh>
    <rPh sb="15" eb="17">
      <t>バアイ</t>
    </rPh>
    <rPh sb="18" eb="20">
      <t>カセン</t>
    </rPh>
    <rPh sb="20" eb="21">
      <t>ブ</t>
    </rPh>
    <phoneticPr fontId="1"/>
  </si>
  <si>
    <t>年齢は1月1日時点）の公的年金所得は、通常の所得から15万円を控除した額で判定します</t>
    <rPh sb="0" eb="2">
      <t>ネンレイ</t>
    </rPh>
    <rPh sb="4" eb="5">
      <t>ガツ</t>
    </rPh>
    <rPh sb="6" eb="7">
      <t>ニチ</t>
    </rPh>
    <rPh sb="7" eb="9">
      <t>ジテン</t>
    </rPh>
    <rPh sb="11" eb="13">
      <t>コウテキ</t>
    </rPh>
    <rPh sb="13" eb="15">
      <t>ネンキン</t>
    </rPh>
    <rPh sb="15" eb="17">
      <t>ショトク</t>
    </rPh>
    <rPh sb="19" eb="21">
      <t>ツウジョウ</t>
    </rPh>
    <rPh sb="22" eb="24">
      <t>ショトク</t>
    </rPh>
    <rPh sb="28" eb="30">
      <t>マンエン</t>
    </rPh>
    <rPh sb="31" eb="33">
      <t>コウジョ</t>
    </rPh>
    <rPh sb="35" eb="36">
      <t>ガク</t>
    </rPh>
    <phoneticPr fontId="1"/>
  </si>
  <si>
    <t>世帯主（国保に加入していない世帯主を含む）、被保険者及び特定同一世帯所属者の所得金額の合計等です。65歳以上の方（</t>
    <rPh sb="0" eb="3">
      <t>セタイヌシ</t>
    </rPh>
    <rPh sb="4" eb="6">
      <t>コクホ</t>
    </rPh>
    <rPh sb="7" eb="9">
      <t>カニュウ</t>
    </rPh>
    <rPh sb="14" eb="17">
      <t>セタイヌシ</t>
    </rPh>
    <rPh sb="18" eb="19">
      <t>フク</t>
    </rPh>
    <rPh sb="22" eb="26">
      <t>ヒホケンシャ</t>
    </rPh>
    <rPh sb="26" eb="27">
      <t>オヨ</t>
    </rPh>
    <rPh sb="28" eb="30">
      <t>トクテイ</t>
    </rPh>
    <rPh sb="30" eb="32">
      <t>ドウイツ</t>
    </rPh>
    <rPh sb="32" eb="34">
      <t>セタイ</t>
    </rPh>
    <rPh sb="34" eb="36">
      <t>ショゾク</t>
    </rPh>
    <rPh sb="36" eb="37">
      <t>シャ</t>
    </rPh>
    <rPh sb="38" eb="40">
      <t>ショトク</t>
    </rPh>
    <rPh sb="40" eb="42">
      <t>キンガク</t>
    </rPh>
    <rPh sb="43" eb="45">
      <t>ゴウケイ</t>
    </rPh>
    <rPh sb="45" eb="46">
      <t>トウ</t>
    </rPh>
    <phoneticPr fontId="1"/>
  </si>
  <si>
    <t>・生年月日は和暦で入力して下さい。</t>
    <rPh sb="1" eb="3">
      <t>セイネン</t>
    </rPh>
    <rPh sb="3" eb="5">
      <t>ガッピ</t>
    </rPh>
    <rPh sb="6" eb="8">
      <t>ワレキ</t>
    </rPh>
    <rPh sb="9" eb="11">
      <t>ニュウリョク</t>
    </rPh>
    <rPh sb="13" eb="14">
      <t>クダ</t>
    </rPh>
    <phoneticPr fontId="1"/>
  </si>
  <si>
    <t>・必ずお使いの端末にダウンロードしてからご利用ください。</t>
    <rPh sb="1" eb="2">
      <t>カナラ</t>
    </rPh>
    <rPh sb="4" eb="5">
      <t>ツカ</t>
    </rPh>
    <rPh sb="7" eb="9">
      <t>タンマツ</t>
    </rPh>
    <rPh sb="21" eb="23">
      <t>リヨウ</t>
    </rPh>
    <phoneticPr fontId="1"/>
  </si>
  <si>
    <r>
      <t>（</t>
    </r>
    <r>
      <rPr>
        <u/>
        <sz val="12"/>
        <color theme="1"/>
        <rFont val="游ゴシック"/>
        <family val="3"/>
        <charset val="128"/>
      </rPr>
      <t>給与所得者等の数</t>
    </r>
    <r>
      <rPr>
        <u/>
        <sz val="9"/>
        <color theme="1"/>
        <rFont val="游ゴシック"/>
        <family val="3"/>
        <charset val="128"/>
      </rPr>
      <t>※２</t>
    </r>
    <r>
      <rPr>
        <u/>
        <sz val="12"/>
        <color theme="1"/>
        <rFont val="游ゴシック"/>
        <family val="3"/>
        <charset val="128"/>
      </rPr>
      <t>－1</t>
    </r>
    <r>
      <rPr>
        <sz val="12"/>
        <color theme="1"/>
        <rFont val="游ゴシック"/>
        <family val="3"/>
        <charset val="128"/>
      </rPr>
      <t>）×10万円</t>
    </r>
    <phoneticPr fontId="1"/>
  </si>
  <si>
    <t>以下</t>
    <phoneticPr fontId="1"/>
  </si>
  <si>
    <r>
      <t>被保険者等の数</t>
    </r>
    <r>
      <rPr>
        <sz val="9"/>
        <color theme="1"/>
        <rFont val="游ゴシック"/>
        <family val="3"/>
        <charset val="128"/>
      </rPr>
      <t>※３</t>
    </r>
    <r>
      <rPr>
        <sz val="12"/>
        <color theme="1"/>
        <rFont val="游ゴシック"/>
        <family val="3"/>
        <charset val="128"/>
      </rPr>
      <t>×31万円</t>
    </r>
    <phoneticPr fontId="1"/>
  </si>
  <si>
    <r>
      <t>被保険者等の数</t>
    </r>
    <r>
      <rPr>
        <sz val="9"/>
        <color theme="1"/>
        <rFont val="游ゴシック"/>
        <family val="3"/>
        <charset val="128"/>
      </rPr>
      <t>※３</t>
    </r>
    <r>
      <rPr>
        <sz val="12"/>
        <color theme="1"/>
        <rFont val="游ゴシック"/>
        <family val="3"/>
        <charset val="128"/>
      </rPr>
      <t>×57万円</t>
    </r>
    <phoneticPr fontId="1"/>
  </si>
  <si>
    <t>子子分</t>
    <rPh sb="0" eb="1">
      <t>コ</t>
    </rPh>
    <rPh sb="1" eb="2">
      <t>コ</t>
    </rPh>
    <rPh sb="2" eb="3">
      <t>ブン</t>
    </rPh>
    <phoneticPr fontId="1"/>
  </si>
  <si>
    <t>子子分</t>
    <rPh sb="0" eb="2">
      <t>ココ</t>
    </rPh>
    <rPh sb="2" eb="3">
      <t>ブン</t>
    </rPh>
    <phoneticPr fontId="1"/>
  </si>
  <si>
    <t>子ども子育て
支援金分</t>
    <rPh sb="0" eb="1">
      <t>コ</t>
    </rPh>
    <rPh sb="3" eb="5">
      <t>コソダ</t>
    </rPh>
    <rPh sb="7" eb="11">
      <t>シエンキンブン</t>
    </rPh>
    <phoneticPr fontId="1"/>
  </si>
  <si>
    <t>18以上1</t>
    <rPh sb="2" eb="4">
      <t>イジョウ</t>
    </rPh>
    <phoneticPr fontId="1"/>
  </si>
  <si>
    <t>子子</t>
    <rPh sb="0" eb="1">
      <t>コ</t>
    </rPh>
    <rPh sb="1" eb="2">
      <t>コ</t>
    </rPh>
    <phoneticPr fontId="1"/>
  </si>
  <si>
    <t>医・支</t>
    <rPh sb="0" eb="1">
      <t>イ</t>
    </rPh>
    <rPh sb="2" eb="3">
      <t>シ</t>
    </rPh>
    <phoneticPr fontId="1"/>
  </si>
  <si>
    <t>医・支・子</t>
    <rPh sb="0" eb="1">
      <t>イ</t>
    </rPh>
    <rPh sb="2" eb="3">
      <t>シ</t>
    </rPh>
    <rPh sb="4" eb="5">
      <t>コ</t>
    </rPh>
    <phoneticPr fontId="1"/>
  </si>
  <si>
    <t>計</t>
    <rPh sb="0" eb="1">
      <t>ケイ</t>
    </rPh>
    <phoneticPr fontId="1"/>
  </si>
  <si>
    <t>未就学軽減</t>
    <rPh sb="0" eb="3">
      <t>ミシュウガク</t>
    </rPh>
    <rPh sb="3" eb="5">
      <t>ケイゲン</t>
    </rPh>
    <phoneticPr fontId="1"/>
  </si>
  <si>
    <t>対象者1</t>
    <phoneticPr fontId="1"/>
  </si>
  <si>
    <t>未就学児軽減</t>
    <rPh sb="0" eb="4">
      <t>ミシュウガクジ</t>
    </rPh>
    <rPh sb="4" eb="6">
      <t>ケイゲン</t>
    </rPh>
    <phoneticPr fontId="1"/>
  </si>
  <si>
    <t>医療12か月相当分</t>
    <rPh sb="0" eb="2">
      <t>イリョウ</t>
    </rPh>
    <rPh sb="6" eb="8">
      <t>ソウトウ</t>
    </rPh>
    <rPh sb="8" eb="9">
      <t>ブン</t>
    </rPh>
    <phoneticPr fontId="1"/>
  </si>
  <si>
    <t>支援12か月相当分</t>
    <rPh sb="0" eb="2">
      <t>シエン</t>
    </rPh>
    <rPh sb="6" eb="8">
      <t>ソウトウ</t>
    </rPh>
    <rPh sb="8" eb="9">
      <t>ブン</t>
    </rPh>
    <phoneticPr fontId="1"/>
  </si>
  <si>
    <t>※子子分は簡易的に18以上賦課のみ</t>
    <rPh sb="1" eb="2">
      <t>コ</t>
    </rPh>
    <rPh sb="2" eb="3">
      <t>コ</t>
    </rPh>
    <rPh sb="3" eb="4">
      <t>ブン</t>
    </rPh>
    <rPh sb="5" eb="7">
      <t>カンイ</t>
    </rPh>
    <rPh sb="7" eb="8">
      <t>テキ</t>
    </rPh>
    <rPh sb="11" eb="13">
      <t>イジョウ</t>
    </rPh>
    <rPh sb="13" eb="15">
      <t>フカ</t>
    </rPh>
    <phoneticPr fontId="1"/>
  </si>
  <si>
    <t>18均適用　以下→</t>
    <rPh sb="2" eb="3">
      <t>キン</t>
    </rPh>
    <rPh sb="3" eb="5">
      <t>テキヨウ</t>
    </rPh>
    <rPh sb="6" eb="8">
      <t>イカ</t>
    </rPh>
    <phoneticPr fontId="1"/>
  </si>
  <si>
    <t>←R9年度に18未満に拡大されたら数式を変えるだけでOK</t>
    <rPh sb="3" eb="5">
      <t>ネンド</t>
    </rPh>
    <rPh sb="8" eb="10">
      <t>ミマン</t>
    </rPh>
    <rPh sb="11" eb="13">
      <t>カクダイ</t>
    </rPh>
    <rPh sb="17" eb="19">
      <t>スウシキ</t>
    </rPh>
    <rPh sb="20" eb="21">
      <t>カ</t>
    </rPh>
    <phoneticPr fontId="1"/>
  </si>
  <si>
    <t>未就学児軽減　以上→</t>
    <rPh sb="0" eb="4">
      <t>ミシュウガクジ</t>
    </rPh>
    <rPh sb="4" eb="6">
      <t>ケイゲン</t>
    </rPh>
    <rPh sb="7" eb="9">
      <t>イジョウ</t>
    </rPh>
    <phoneticPr fontId="1"/>
  </si>
  <si>
    <t>↑所得割は18未満もかかる</t>
    <rPh sb="1" eb="4">
      <t>ショトクワリ</t>
    </rPh>
    <phoneticPr fontId="1"/>
  </si>
  <si>
    <t>世帯主（国保に加入していない世帯主を含む）、被保険者及び特定同一世帯所属者のうち、給与収入が65万円を超える方、</t>
    <rPh sb="41" eb="43">
      <t>キュウヨ</t>
    </rPh>
    <rPh sb="43" eb="45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</si>
</sst>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か&quot;&quot;月&quot;&quot;分&quot;"/>
    <numFmt numFmtId="177" formatCode="0&quot;割&quot;"/>
    <numFmt numFmtId="178" formatCode="#,##0;&quot;△ &quot;#,##0"/>
    <numFmt numFmtId="179" formatCode="0&quot;月&quot;&quot;か&quot;&quot;ら&quot;"/>
    <numFmt numFmtId="180" formatCode="0&quot;月&quot;&quot;ま&quot;&quot;で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u/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u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3" fillId="0" borderId="0"/>
  </cellStyleXfs>
  <cellXfs count="3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0" fillId="0" borderId="1" xfId="0" applyNumberFormat="1" applyBorder="1">
      <alignment vertical="center"/>
    </xf>
    <xf numFmtId="3" fontId="0" fillId="5" borderId="1" xfId="0" applyNumberFormat="1" applyFill="1" applyBorder="1">
      <alignment vertical="center"/>
    </xf>
    <xf numFmtId="0" fontId="2" fillId="0" borderId="0" xfId="1" applyProtection="1"/>
    <xf numFmtId="3" fontId="4" fillId="0" borderId="14" xfId="2" applyNumberFormat="1" applyFont="1" applyBorder="1" applyProtection="1"/>
    <xf numFmtId="0" fontId="4" fillId="0" borderId="0" xfId="1" applyFont="1" applyProtection="1"/>
    <xf numFmtId="3" fontId="4" fillId="0" borderId="17" xfId="2" applyNumberFormat="1" applyFont="1" applyBorder="1" applyAlignment="1" applyProtection="1"/>
    <xf numFmtId="3" fontId="4" fillId="0" borderId="18" xfId="2" applyNumberFormat="1" applyFont="1" applyBorder="1" applyAlignment="1" applyProtection="1"/>
    <xf numFmtId="3" fontId="4" fillId="0" borderId="19" xfId="2" applyNumberFormat="1" applyFont="1" applyBorder="1" applyAlignment="1" applyProtection="1"/>
    <xf numFmtId="3" fontId="4" fillId="0" borderId="21" xfId="2" applyNumberFormat="1" applyFont="1" applyBorder="1" applyAlignment="1" applyProtection="1">
      <alignment horizontal="right"/>
    </xf>
    <xf numFmtId="3" fontId="4" fillId="0" borderId="13" xfId="2" applyNumberFormat="1" applyFont="1" applyBorder="1" applyAlignment="1" applyProtection="1">
      <alignment horizontal="right"/>
    </xf>
    <xf numFmtId="3" fontId="4" fillId="0" borderId="22" xfId="2" applyNumberFormat="1" applyFont="1" applyBorder="1" applyAlignment="1" applyProtection="1">
      <alignment horizontal="right"/>
    </xf>
    <xf numFmtId="178" fontId="4" fillId="7" borderId="3" xfId="2" applyNumberFormat="1" applyFont="1" applyFill="1" applyBorder="1" applyAlignment="1" applyProtection="1">
      <alignment horizontal="right"/>
    </xf>
    <xf numFmtId="178" fontId="4" fillId="0" borderId="24" xfId="2" applyNumberFormat="1" applyFont="1" applyBorder="1" applyAlignment="1" applyProtection="1">
      <alignment horizontal="right"/>
    </xf>
    <xf numFmtId="178" fontId="4" fillId="0" borderId="1" xfId="2" applyNumberFormat="1" applyFont="1" applyBorder="1" applyAlignment="1" applyProtection="1">
      <alignment horizontal="right"/>
    </xf>
    <xf numFmtId="178" fontId="4" fillId="0" borderId="25" xfId="2" applyNumberFormat="1" applyFont="1" applyBorder="1" applyAlignment="1" applyProtection="1">
      <alignment horizontal="right"/>
    </xf>
    <xf numFmtId="178" fontId="4" fillId="0" borderId="8" xfId="2" applyNumberFormat="1" applyFont="1" applyBorder="1" applyAlignment="1" applyProtection="1">
      <alignment horizontal="right"/>
    </xf>
    <xf numFmtId="178" fontId="4" fillId="8" borderId="3" xfId="2" applyNumberFormat="1" applyFont="1" applyFill="1" applyBorder="1" applyAlignment="1" applyProtection="1">
      <alignment horizontal="right"/>
    </xf>
    <xf numFmtId="178" fontId="4" fillId="0" borderId="24" xfId="2" applyNumberFormat="1" applyFont="1" applyBorder="1" applyAlignment="1" applyProtection="1"/>
    <xf numFmtId="178" fontId="4" fillId="0" borderId="1" xfId="2" applyNumberFormat="1" applyFont="1" applyBorder="1" applyAlignment="1" applyProtection="1"/>
    <xf numFmtId="178" fontId="4" fillId="0" borderId="25" xfId="2" applyNumberFormat="1" applyFont="1" applyBorder="1" applyAlignment="1" applyProtection="1"/>
    <xf numFmtId="178" fontId="4" fillId="0" borderId="8" xfId="2" applyNumberFormat="1" applyFont="1" applyBorder="1" applyAlignment="1" applyProtection="1"/>
    <xf numFmtId="3" fontId="4" fillId="6" borderId="1" xfId="2" applyNumberFormat="1" applyFont="1" applyFill="1" applyBorder="1" applyAlignment="1" applyProtection="1">
      <alignment horizontal="right"/>
    </xf>
    <xf numFmtId="0" fontId="4" fillId="0" borderId="12" xfId="1" applyFont="1" applyBorder="1" applyProtection="1"/>
    <xf numFmtId="3" fontId="4" fillId="0" borderId="1" xfId="2" applyNumberFormat="1" applyFont="1" applyBorder="1" applyAlignment="1" applyProtection="1">
      <alignment horizontal="right"/>
    </xf>
    <xf numFmtId="0" fontId="4" fillId="7" borderId="3" xfId="1" applyFont="1" applyFill="1" applyBorder="1" applyAlignment="1" applyProtection="1">
      <alignment horizontal="center" vertical="center"/>
    </xf>
    <xf numFmtId="3" fontId="4" fillId="0" borderId="29" xfId="2" applyNumberFormat="1" applyFont="1" applyBorder="1" applyAlignment="1" applyProtection="1"/>
    <xf numFmtId="3" fontId="4" fillId="0" borderId="30" xfId="2" applyNumberFormat="1" applyFont="1" applyBorder="1" applyAlignment="1" applyProtection="1"/>
    <xf numFmtId="3" fontId="4" fillId="0" borderId="31" xfId="2" applyNumberFormat="1" applyFont="1" applyBorder="1" applyAlignment="1" applyProtection="1"/>
    <xf numFmtId="3" fontId="4" fillId="0" borderId="24" xfId="2" applyNumberFormat="1" applyFont="1" applyBorder="1" applyAlignment="1" applyProtection="1">
      <alignment horizontal="right"/>
    </xf>
    <xf numFmtId="3" fontId="4" fillId="0" borderId="25" xfId="2" applyNumberFormat="1" applyFont="1" applyBorder="1" applyAlignment="1" applyProtection="1">
      <alignment horizontal="right"/>
    </xf>
    <xf numFmtId="0" fontId="4" fillId="8" borderId="3" xfId="1" applyFont="1" applyFill="1" applyBorder="1" applyAlignment="1" applyProtection="1">
      <alignment horizontal="center" vertical="center"/>
    </xf>
    <xf numFmtId="0" fontId="4" fillId="7" borderId="1" xfId="1" applyFont="1" applyFill="1" applyBorder="1" applyAlignment="1" applyProtection="1">
      <alignment horizontal="center" vertical="center"/>
    </xf>
    <xf numFmtId="0" fontId="4" fillId="8" borderId="1" xfId="1" applyFont="1" applyFill="1" applyBorder="1" applyAlignment="1" applyProtection="1">
      <alignment horizontal="center" vertical="center"/>
    </xf>
    <xf numFmtId="178" fontId="4" fillId="0" borderId="1" xfId="2" applyNumberFormat="1" applyFont="1" applyFill="1" applyBorder="1" applyAlignment="1" applyProtection="1">
      <alignment horizontal="right"/>
    </xf>
    <xf numFmtId="178" fontId="4" fillId="0" borderId="24" xfId="2" applyNumberFormat="1" applyFont="1" applyFill="1" applyBorder="1" applyAlignment="1" applyProtection="1">
      <alignment horizontal="right"/>
    </xf>
    <xf numFmtId="178" fontId="4" fillId="0" borderId="25" xfId="2" applyNumberFormat="1" applyFont="1" applyFill="1" applyBorder="1" applyAlignment="1" applyProtection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57" fontId="0" fillId="0" borderId="0" xfId="0" applyNumberFormat="1">
      <alignment vertical="center"/>
    </xf>
    <xf numFmtId="180" fontId="0" fillId="11" borderId="1" xfId="0" applyNumberFormat="1" applyFill="1" applyBorder="1">
      <alignment vertical="center"/>
    </xf>
    <xf numFmtId="57" fontId="0" fillId="11" borderId="3" xfId="0" applyNumberFormat="1" applyFill="1" applyBorder="1">
      <alignment vertical="center"/>
    </xf>
    <xf numFmtId="0" fontId="0" fillId="11" borderId="9" xfId="0" applyFill="1" applyBorder="1" applyAlignment="1">
      <alignment horizontal="center" vertical="center"/>
    </xf>
    <xf numFmtId="57" fontId="0" fillId="11" borderId="8" xfId="0" applyNumberFormat="1" applyFill="1" applyBorder="1">
      <alignment vertical="center"/>
    </xf>
    <xf numFmtId="0" fontId="0" fillId="3" borderId="1" xfId="0" applyFill="1" applyBorder="1">
      <alignment vertical="center"/>
    </xf>
    <xf numFmtId="179" fontId="0" fillId="12" borderId="1" xfId="0" applyNumberFormat="1" applyFill="1" applyBorder="1">
      <alignment vertical="center"/>
    </xf>
    <xf numFmtId="57" fontId="0" fillId="12" borderId="3" xfId="0" applyNumberFormat="1" applyFill="1" applyBorder="1">
      <alignment vertical="center"/>
    </xf>
    <xf numFmtId="0" fontId="0" fillId="12" borderId="9" xfId="0" applyFill="1" applyBorder="1" applyAlignment="1">
      <alignment horizontal="center" vertical="center"/>
    </xf>
    <xf numFmtId="57" fontId="0" fillId="12" borderId="8" xfId="0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57" fontId="0" fillId="0" borderId="9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0" fillId="11" borderId="3" xfId="0" applyFill="1" applyBorder="1">
      <alignment vertical="center"/>
    </xf>
    <xf numFmtId="0" fontId="0" fillId="1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36" xfId="0" applyBorder="1">
      <alignment vertical="center"/>
    </xf>
    <xf numFmtId="0" fontId="0" fillId="11" borderId="38" xfId="0" applyFill="1" applyBorder="1">
      <alignment vertical="center"/>
    </xf>
    <xf numFmtId="0" fontId="0" fillId="12" borderId="38" xfId="0" applyFill="1" applyBorder="1">
      <alignment vertical="center"/>
    </xf>
    <xf numFmtId="0" fontId="0" fillId="0" borderId="39" xfId="0" applyFill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4" borderId="13" xfId="0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0" fillId="0" borderId="0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3" fontId="10" fillId="2" borderId="44" xfId="0" applyNumberFormat="1" applyFont="1" applyFill="1" applyBorder="1" applyAlignment="1" applyProtection="1">
      <alignment horizontal="center" vertical="center"/>
      <protection locked="0"/>
    </xf>
    <xf numFmtId="3" fontId="10" fillId="0" borderId="45" xfId="0" applyNumberFormat="1" applyFont="1" applyFill="1" applyBorder="1" applyAlignment="1" applyProtection="1">
      <alignment horizontal="center" vertical="center"/>
    </xf>
    <xf numFmtId="3" fontId="10" fillId="0" borderId="46" xfId="0" applyNumberFormat="1" applyFont="1" applyFill="1" applyBorder="1" applyAlignment="1" applyProtection="1">
      <alignment horizontal="center" vertical="center"/>
    </xf>
    <xf numFmtId="3" fontId="10" fillId="2" borderId="43" xfId="0" applyNumberFormat="1" applyFont="1" applyFill="1" applyBorder="1" applyAlignment="1" applyProtection="1">
      <alignment horizontal="center" vertical="center"/>
      <protection locked="0"/>
    </xf>
    <xf numFmtId="3" fontId="10" fillId="0" borderId="47" xfId="0" applyNumberFormat="1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0" borderId="48" xfId="0" applyFont="1" applyBorder="1" applyAlignment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3" fontId="10" fillId="2" borderId="50" xfId="0" applyNumberFormat="1" applyFont="1" applyFill="1" applyBorder="1" applyAlignment="1" applyProtection="1">
      <alignment horizontal="center" vertical="center"/>
      <protection locked="0"/>
    </xf>
    <xf numFmtId="3" fontId="10" fillId="0" borderId="51" xfId="0" applyNumberFormat="1" applyFont="1" applyFill="1" applyBorder="1" applyAlignment="1" applyProtection="1">
      <alignment horizontal="center" vertical="center"/>
    </xf>
    <xf numFmtId="3" fontId="10" fillId="0" borderId="52" xfId="0" applyNumberFormat="1" applyFont="1" applyFill="1" applyBorder="1" applyAlignment="1" applyProtection="1">
      <alignment horizontal="center" vertical="center"/>
    </xf>
    <xf numFmtId="3" fontId="10" fillId="2" borderId="53" xfId="0" applyNumberFormat="1" applyFont="1" applyFill="1" applyBorder="1" applyAlignment="1" applyProtection="1">
      <alignment horizontal="center" vertical="center"/>
      <protection locked="0"/>
    </xf>
    <xf numFmtId="0" fontId="10" fillId="0" borderId="54" xfId="0" applyFont="1" applyBorder="1" applyAlignment="1">
      <alignment horizontal="center" vertical="center"/>
    </xf>
    <xf numFmtId="3" fontId="10" fillId="2" borderId="56" xfId="0" applyNumberFormat="1" applyFont="1" applyFill="1" applyBorder="1" applyAlignment="1" applyProtection="1">
      <alignment horizontal="center" vertical="center"/>
      <protection locked="0"/>
    </xf>
    <xf numFmtId="3" fontId="10" fillId="0" borderId="57" xfId="0" applyNumberFormat="1" applyFont="1" applyFill="1" applyBorder="1" applyAlignment="1" applyProtection="1">
      <alignment horizontal="center" vertical="center"/>
    </xf>
    <xf numFmtId="3" fontId="10" fillId="0" borderId="58" xfId="0" applyNumberFormat="1" applyFont="1" applyFill="1" applyBorder="1" applyAlignment="1" applyProtection="1">
      <alignment horizontal="center" vertical="center"/>
    </xf>
    <xf numFmtId="3" fontId="10" fillId="2" borderId="55" xfId="0" applyNumberFormat="1" applyFont="1" applyFill="1" applyBorder="1" applyAlignment="1" applyProtection="1">
      <alignment horizontal="center" vertical="center"/>
      <protection locked="0"/>
    </xf>
    <xf numFmtId="3" fontId="10" fillId="0" borderId="59" xfId="0" applyNumberFormat="1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/>
    </xf>
    <xf numFmtId="3" fontId="10" fillId="2" borderId="68" xfId="0" applyNumberFormat="1" applyFont="1" applyFill="1" applyBorder="1" applyAlignment="1" applyProtection="1">
      <alignment horizontal="center" vertical="center"/>
      <protection locked="0"/>
    </xf>
    <xf numFmtId="3" fontId="10" fillId="0" borderId="69" xfId="0" applyNumberFormat="1" applyFont="1" applyFill="1" applyBorder="1" applyAlignment="1" applyProtection="1">
      <alignment horizontal="center" vertical="center"/>
    </xf>
    <xf numFmtId="3" fontId="10" fillId="0" borderId="70" xfId="0" applyNumberFormat="1" applyFont="1" applyFill="1" applyBorder="1" applyAlignment="1" applyProtection="1">
      <alignment horizontal="center" vertical="center"/>
    </xf>
    <xf numFmtId="3" fontId="10" fillId="2" borderId="67" xfId="0" applyNumberFormat="1" applyFont="1" applyFill="1" applyBorder="1" applyAlignment="1" applyProtection="1">
      <alignment horizontal="center" vertical="center"/>
      <protection locked="0"/>
    </xf>
    <xf numFmtId="3" fontId="10" fillId="0" borderId="71" xfId="0" applyNumberFormat="1" applyFont="1" applyFill="1" applyBorder="1" applyAlignment="1" applyProtection="1">
      <alignment horizontal="center" vertical="center"/>
    </xf>
    <xf numFmtId="3" fontId="10" fillId="0" borderId="7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center"/>
    </xf>
    <xf numFmtId="0" fontId="10" fillId="10" borderId="67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top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0" fillId="2" borderId="67" xfId="0" applyNumberFormat="1" applyFont="1" applyFill="1" applyBorder="1" applyAlignment="1" applyProtection="1">
      <alignment horizontal="center" vertical="center"/>
      <protection locked="0"/>
    </xf>
    <xf numFmtId="0" fontId="10" fillId="2" borderId="55" xfId="0" applyNumberFormat="1" applyFont="1" applyFill="1" applyBorder="1" applyAlignment="1" applyProtection="1">
      <alignment horizontal="center" vertical="center"/>
      <protection locked="0"/>
    </xf>
    <xf numFmtId="0" fontId="10" fillId="2" borderId="4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 wrapText="1"/>
    </xf>
    <xf numFmtId="0" fontId="10" fillId="0" borderId="35" xfId="0" applyFont="1" applyBorder="1">
      <alignment vertical="center"/>
    </xf>
    <xf numFmtId="14" fontId="0" fillId="0" borderId="0" xfId="0" applyNumberFormat="1">
      <alignment vertical="center"/>
    </xf>
    <xf numFmtId="0" fontId="7" fillId="0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0" fontId="0" fillId="13" borderId="0" xfId="0" applyFill="1">
      <alignment vertical="center"/>
    </xf>
    <xf numFmtId="0" fontId="10" fillId="13" borderId="0" xfId="0" applyFont="1" applyFill="1">
      <alignment vertical="center"/>
    </xf>
    <xf numFmtId="0" fontId="10" fillId="13" borderId="0" xfId="0" applyFont="1" applyFill="1" applyBorder="1">
      <alignment vertical="center"/>
    </xf>
    <xf numFmtId="0" fontId="0" fillId="13" borderId="27" xfId="0" applyFill="1" applyBorder="1">
      <alignment vertical="center"/>
    </xf>
    <xf numFmtId="0" fontId="19" fillId="13" borderId="15" xfId="0" applyFont="1" applyFill="1" applyBorder="1">
      <alignment vertical="center"/>
    </xf>
    <xf numFmtId="0" fontId="10" fillId="13" borderId="15" xfId="0" applyFont="1" applyFill="1" applyBorder="1" applyAlignment="1">
      <alignment vertical="center" wrapText="1"/>
    </xf>
    <xf numFmtId="0" fontId="0" fillId="13" borderId="28" xfId="0" applyFill="1" applyBorder="1">
      <alignment vertical="center"/>
    </xf>
    <xf numFmtId="0" fontId="0" fillId="13" borderId="40" xfId="0" applyFill="1" applyBorder="1">
      <alignment vertical="center"/>
    </xf>
    <xf numFmtId="0" fontId="0" fillId="13" borderId="41" xfId="0" applyFill="1" applyBorder="1">
      <alignment vertical="center"/>
    </xf>
    <xf numFmtId="0" fontId="0" fillId="13" borderId="10" xfId="0" applyFill="1" applyBorder="1">
      <alignment vertical="center"/>
    </xf>
    <xf numFmtId="0" fontId="0" fillId="13" borderId="11" xfId="0" applyFill="1" applyBorder="1">
      <alignment vertical="center"/>
    </xf>
    <xf numFmtId="0" fontId="10" fillId="13" borderId="0" xfId="0" applyFont="1" applyFill="1" applyBorder="1" applyAlignment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57" fontId="10" fillId="0" borderId="48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57" fontId="10" fillId="0" borderId="42" xfId="0" applyNumberFormat="1" applyFont="1" applyFill="1" applyBorder="1" applyAlignment="1" applyProtection="1">
      <alignment horizontal="center" vertical="center"/>
    </xf>
    <xf numFmtId="3" fontId="4" fillId="0" borderId="1" xfId="2" applyNumberFormat="1" applyFont="1" applyFill="1" applyBorder="1" applyAlignment="1" applyProtection="1">
      <alignment horizontal="right"/>
    </xf>
    <xf numFmtId="3" fontId="2" fillId="0" borderId="1" xfId="1" applyNumberFormat="1" applyBorder="1" applyProtection="1"/>
    <xf numFmtId="3" fontId="2" fillId="0" borderId="1" xfId="1" applyNumberFormat="1" applyBorder="1" applyAlignment="1" applyProtection="1"/>
    <xf numFmtId="0" fontId="0" fillId="9" borderId="1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3" fontId="20" fillId="0" borderId="4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0" fontId="10" fillId="0" borderId="6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84" xfId="0" applyFont="1" applyFill="1" applyBorder="1" applyAlignment="1" applyProtection="1">
      <alignment horizontal="center" vertical="center"/>
    </xf>
    <xf numFmtId="0" fontId="10" fillId="0" borderId="85" xfId="0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2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14" fontId="0" fillId="10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57" fontId="0" fillId="0" borderId="0" xfId="0" applyNumberFormat="1" applyBorder="1">
      <alignment vertical="center"/>
    </xf>
    <xf numFmtId="0" fontId="0" fillId="3" borderId="3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2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3" fillId="0" borderId="0" xfId="0" applyFont="1">
      <alignment vertical="center"/>
    </xf>
    <xf numFmtId="0" fontId="23" fillId="0" borderId="1" xfId="0" applyFont="1" applyBorder="1">
      <alignment vertical="center"/>
    </xf>
    <xf numFmtId="0" fontId="0" fillId="13" borderId="87" xfId="0" applyFill="1" applyBorder="1">
      <alignment vertical="center"/>
    </xf>
    <xf numFmtId="0" fontId="10" fillId="13" borderId="88" xfId="0" applyFont="1" applyFill="1" applyBorder="1" applyAlignment="1">
      <alignment vertical="top"/>
    </xf>
    <xf numFmtId="0" fontId="10" fillId="13" borderId="88" xfId="0" applyFont="1" applyFill="1" applyBorder="1" applyAlignment="1">
      <alignment vertical="top" wrapText="1"/>
    </xf>
    <xf numFmtId="0" fontId="0" fillId="13" borderId="89" xfId="0" applyFill="1" applyBorder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5" fillId="13" borderId="0" xfId="0" applyFont="1" applyFill="1" applyBorder="1" applyAlignment="1">
      <alignment vertical="center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vertical="center" wrapText="1"/>
    </xf>
    <xf numFmtId="0" fontId="10" fillId="13" borderId="8" xfId="0" applyFont="1" applyFill="1" applyBorder="1" applyAlignment="1">
      <alignment vertical="center" wrapText="1"/>
    </xf>
    <xf numFmtId="0" fontId="24" fillId="13" borderId="0" xfId="0" applyFont="1" applyFill="1" applyBorder="1" applyAlignment="1">
      <alignment vertical="center"/>
    </xf>
    <xf numFmtId="0" fontId="24" fillId="13" borderId="0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0" fillId="13" borderId="9" xfId="0" applyFont="1" applyFill="1" applyBorder="1" applyAlignment="1">
      <alignment vertical="center"/>
    </xf>
    <xf numFmtId="3" fontId="4" fillId="0" borderId="16" xfId="2" applyNumberFormat="1" applyFont="1" applyBorder="1" applyAlignment="1">
      <alignment horizontal="center"/>
    </xf>
    <xf numFmtId="3" fontId="4" fillId="0" borderId="20" xfId="2" applyNumberFormat="1" applyFont="1" applyBorder="1" applyAlignment="1">
      <alignment horizontal="right"/>
    </xf>
    <xf numFmtId="3" fontId="4" fillId="0" borderId="26" xfId="3" applyNumberFormat="1" applyFont="1" applyBorder="1"/>
    <xf numFmtId="3" fontId="4" fillId="0" borderId="23" xfId="3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11" borderId="2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0" fillId="11" borderId="1" xfId="0" applyFill="1" applyBorder="1">
      <alignment vertical="center"/>
    </xf>
    <xf numFmtId="0" fontId="30" fillId="3" borderId="1" xfId="0" applyFont="1" applyFill="1" applyBorder="1">
      <alignment vertical="center"/>
    </xf>
    <xf numFmtId="0" fontId="0" fillId="0" borderId="0" xfId="0" applyBorder="1" applyAlignment="1">
      <alignment vertical="center"/>
    </xf>
    <xf numFmtId="3" fontId="10" fillId="0" borderId="73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3" fontId="10" fillId="0" borderId="74" xfId="0" applyNumberFormat="1" applyFont="1" applyBorder="1" applyAlignment="1">
      <alignment horizontal="center" vertical="center"/>
    </xf>
    <xf numFmtId="3" fontId="9" fillId="0" borderId="54" xfId="0" applyNumberFormat="1" applyFont="1" applyBorder="1" applyAlignment="1">
      <alignment horizontal="center" vertical="center"/>
    </xf>
    <xf numFmtId="3" fontId="9" fillId="0" borderId="4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vertical="center" shrinkToFit="1"/>
    </xf>
    <xf numFmtId="0" fontId="10" fillId="3" borderId="2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 vertical="center" wrapText="1"/>
    </xf>
    <xf numFmtId="0" fontId="10" fillId="3" borderId="77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0" fontId="10" fillId="3" borderId="75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81" xfId="0" applyFont="1" applyFill="1" applyBorder="1" applyAlignment="1">
      <alignment horizontal="center" vertical="center"/>
    </xf>
    <xf numFmtId="0" fontId="10" fillId="3" borderId="82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1" fillId="15" borderId="1" xfId="0" applyFont="1" applyFill="1" applyBorder="1" applyAlignment="1">
      <alignment vertical="center"/>
    </xf>
    <xf numFmtId="0" fontId="0" fillId="0" borderId="12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29" fillId="15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3" borderId="0" xfId="0" applyFont="1" applyFill="1" applyBorder="1" applyAlignment="1">
      <alignment horizontal="left" vertical="center" shrinkToFit="1"/>
    </xf>
    <xf numFmtId="0" fontId="10" fillId="13" borderId="7" xfId="0" applyFont="1" applyFill="1" applyBorder="1" applyAlignment="1">
      <alignment horizontal="left" vertical="top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178" fontId="4" fillId="9" borderId="17" xfId="2" applyNumberFormat="1" applyFont="1" applyFill="1" applyBorder="1" applyAlignment="1" applyProtection="1">
      <alignment horizontal="center" vertical="center"/>
    </xf>
    <xf numFmtId="178" fontId="4" fillId="9" borderId="33" xfId="2" applyNumberFormat="1" applyFont="1" applyFill="1" applyBorder="1" applyAlignment="1" applyProtection="1">
      <alignment horizontal="center" vertical="center"/>
    </xf>
    <xf numFmtId="178" fontId="4" fillId="9" borderId="21" xfId="2" applyNumberFormat="1" applyFont="1" applyFill="1" applyBorder="1" applyAlignment="1" applyProtection="1">
      <alignment horizontal="center" vertical="center"/>
    </xf>
    <xf numFmtId="178" fontId="4" fillId="9" borderId="18" xfId="2" applyNumberFormat="1" applyFont="1" applyFill="1" applyBorder="1" applyAlignment="1" applyProtection="1">
      <alignment horizontal="center" vertical="center"/>
    </xf>
    <xf numFmtId="178" fontId="4" fillId="9" borderId="32" xfId="2" applyNumberFormat="1" applyFont="1" applyFill="1" applyBorder="1" applyAlignment="1" applyProtection="1">
      <alignment horizontal="center" vertical="center"/>
    </xf>
    <xf numFmtId="178" fontId="4" fillId="9" borderId="13" xfId="2" applyNumberFormat="1" applyFont="1" applyFill="1" applyBorder="1" applyAlignment="1" applyProtection="1">
      <alignment horizontal="center" vertical="center"/>
    </xf>
    <xf numFmtId="178" fontId="4" fillId="9" borderId="19" xfId="2" applyNumberFormat="1" applyFont="1" applyFill="1" applyBorder="1" applyAlignment="1" applyProtection="1">
      <alignment horizontal="center" vertical="center"/>
    </xf>
    <xf numFmtId="178" fontId="4" fillId="9" borderId="34" xfId="2" applyNumberFormat="1" applyFont="1" applyFill="1" applyBorder="1" applyAlignment="1" applyProtection="1">
      <alignment horizontal="center" vertical="center"/>
    </xf>
    <xf numFmtId="178" fontId="4" fillId="9" borderId="22" xfId="2" applyNumberFormat="1" applyFont="1" applyFill="1" applyBorder="1" applyAlignment="1" applyProtection="1">
      <alignment horizontal="center" vertical="center"/>
    </xf>
    <xf numFmtId="3" fontId="4" fillId="0" borderId="1" xfId="2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3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3" fontId="4" fillId="6" borderId="1" xfId="2" applyNumberFormat="1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3" fontId="4" fillId="0" borderId="16" xfId="2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8" xfId="2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3" fontId="4" fillId="0" borderId="27" xfId="2" applyNumberFormat="1" applyFont="1" applyBorder="1" applyAlignment="1" applyProtection="1">
      <alignment horizontal="center"/>
    </xf>
    <xf numFmtId="3" fontId="4" fillId="0" borderId="28" xfId="2" applyNumberFormat="1" applyFont="1" applyBorder="1" applyAlignment="1" applyProtection="1">
      <alignment horizontal="center"/>
    </xf>
    <xf numFmtId="3" fontId="4" fillId="0" borderId="15" xfId="2" applyNumberFormat="1" applyFont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3" fontId="4" fillId="0" borderId="1" xfId="2" applyNumberFormat="1" applyFont="1" applyBorder="1" applyAlignment="1" applyProtection="1">
      <alignment horizontal="center"/>
    </xf>
    <xf numFmtId="0" fontId="0" fillId="12" borderId="1" xfId="0" applyFill="1" applyBorder="1" applyAlignment="1">
      <alignment horizontal="center" vertical="center" textRotation="255"/>
    </xf>
    <xf numFmtId="0" fontId="0" fillId="11" borderId="1" xfId="0" applyFill="1" applyBorder="1" applyAlignment="1">
      <alignment horizontal="center" vertical="center" textRotation="255"/>
    </xf>
    <xf numFmtId="0" fontId="0" fillId="11" borderId="12" xfId="0" applyFill="1" applyBorder="1" applyAlignment="1">
      <alignment vertical="center"/>
    </xf>
    <xf numFmtId="0" fontId="0" fillId="11" borderId="32" xfId="0" applyFill="1" applyBorder="1" applyAlignment="1">
      <alignment vertical="center"/>
    </xf>
    <xf numFmtId="0" fontId="0" fillId="11" borderId="13" xfId="0" applyFill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_Sheet1" xfId="2" xr:uid="{00000000-0005-0000-0000-000002000000}"/>
    <cellStyle name="標準_Sheet1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740453</xdr:colOff>
      <xdr:row>18</xdr:row>
      <xdr:rowOff>57014</xdr:rowOff>
    </xdr:from>
    <xdr:to>
      <xdr:col>7</xdr:col>
      <xdr:colOff>419681</xdr:colOff>
      <xdr:row>19</xdr:row>
      <xdr:rowOff>206373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18098" y="5556203"/>
          <a:ext cx="510501" cy="40513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140677</xdr:colOff>
      <xdr:row>1</xdr:row>
      <xdr:rowOff>10048</xdr:rowOff>
    </xdr:from>
    <xdr:to>
      <xdr:col>20</xdr:col>
      <xdr:colOff>532563</xdr:colOff>
      <xdr:row>16</xdr:row>
      <xdr:rowOff>301450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68931" y="331595"/>
          <a:ext cx="5476353" cy="4994031"/>
        </a:xfrm>
        <a:prstGeom prst="roundRect">
          <a:avLst>
            <a:gd name="adj" fmla="val 424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683288</xdr:colOff>
      <xdr:row>0</xdr:row>
      <xdr:rowOff>70339</xdr:rowOff>
    </xdr:from>
    <xdr:to>
      <xdr:col>18</xdr:col>
      <xdr:colOff>572756</xdr:colOff>
      <xdr:row>2</xdr:row>
      <xdr:rowOff>10049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47491" y="70339"/>
          <a:ext cx="1818751" cy="452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>
              <a:solidFill>
                <a:srgbClr val="FF0000"/>
              </a:solidFill>
            </a:rPr>
            <a:t>※</a:t>
          </a:r>
          <a:r>
            <a:rPr kumimoji="1" lang="ja-JP" altLang="en-US" sz="2000">
              <a:solidFill>
                <a:srgbClr val="FF0000"/>
              </a:solidFill>
            </a:rPr>
            <a:t>注意事項</a:t>
          </a:r>
          <a:r>
            <a:rPr kumimoji="1" lang="en-US" altLang="ja-JP" sz="2000">
              <a:solidFill>
                <a:srgbClr val="FF0000"/>
              </a:solidFill>
            </a:rPr>
            <a:t>※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361741</xdr:colOff>
          <xdr:row>17</xdr:row>
          <xdr:rowOff>50243</xdr:rowOff>
        </xdr:from>
        <xdr:to>
          <xdr:col>20</xdr:col>
          <xdr:colOff>565723</xdr:colOff>
          <xdr:row>34</xdr:row>
          <xdr:rowOff>1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軽減説明!$B$2:$K$16" spid="_x0000_s11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92202" y="5395966"/>
              <a:ext cx="8986242" cy="50442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281355</xdr:colOff>
      <xdr:row>0</xdr:row>
      <xdr:rowOff>140676</xdr:rowOff>
    </xdr:from>
    <xdr:to>
      <xdr:col>14</xdr:col>
      <xdr:colOff>211017</xdr:colOff>
      <xdr:row>6</xdr:row>
      <xdr:rowOff>147709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62912" y="140676"/>
          <a:ext cx="2011680" cy="120982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←年度（西暦で入力）・税率・基礎控除・軽減の人数加算額を入力してください。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軽減が変わった場合、「軽減説明」シートの数値も変更してください。</a:t>
          </a:r>
        </a:p>
      </xdr:txBody>
    </xdr:sp>
    <xdr:clientData/>
  </xdr:twoCellAnchor>
  <xdr:twoCellAnchor>
    <xdr:from>
      <xdr:col>9</xdr:col>
      <xdr:colOff>175846</xdr:colOff>
      <xdr:row>70</xdr:row>
      <xdr:rowOff>91439</xdr:rowOff>
    </xdr:from>
    <xdr:to>
      <xdr:col>15</xdr:col>
      <xdr:colOff>28135</xdr:colOff>
      <xdr:row>81</xdr:row>
      <xdr:rowOff>154745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24954" y="11795759"/>
          <a:ext cx="3727938" cy="21593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←各項目をすべて満たすと、有効な入力とみなし計算対象者として判定しています。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項目ごとに満たす場合は１とし、その掛け算をして判定しています。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世帯主のみ、擬主か普主の判定が必要となるため、加入有無の入力も判定に加えています。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生年月日の入力があっても対象外としているもの</a:t>
          </a:r>
          <a:endParaRPr kumimoji="1" lang="en-US" altLang="ja-JP" sz="1100"/>
        </a:p>
        <a:p>
          <a:pPr algn="l"/>
          <a:r>
            <a:rPr kumimoji="1" lang="ja-JP" altLang="en-US" sz="1100"/>
            <a:t>・生年月日が現在日より１年以上先の場合</a:t>
          </a:r>
          <a:endParaRPr kumimoji="1" lang="en-US" altLang="ja-JP" sz="1100"/>
        </a:p>
        <a:p>
          <a:pPr algn="l"/>
          <a:r>
            <a:rPr kumimoji="1" lang="ja-JP" altLang="en-US" sz="1100"/>
            <a:t>・「加入する」としているが、既に７５歳に到達している場合</a:t>
          </a:r>
        </a:p>
      </xdr:txBody>
    </xdr:sp>
    <xdr:clientData/>
  </xdr:twoCellAnchor>
  <xdr:twoCellAnchor>
    <xdr:from>
      <xdr:col>9</xdr:col>
      <xdr:colOff>365759</xdr:colOff>
      <xdr:row>56</xdr:row>
      <xdr:rowOff>105508</xdr:rowOff>
    </xdr:from>
    <xdr:to>
      <xdr:col>15</xdr:col>
      <xdr:colOff>218048</xdr:colOff>
      <xdr:row>62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14867" y="9425354"/>
          <a:ext cx="3727938" cy="914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←軽減と未就学児均等割軽減の適用の組み合わせによって、概算シートに表記する文言を変更しています。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文言のテンプレートを作って</a:t>
          </a:r>
          <a:r>
            <a:rPr kumimoji="1" lang="en-US" altLang="ja-JP" sz="1100"/>
            <a:t>H56</a:t>
          </a:r>
          <a:r>
            <a:rPr kumimoji="1" lang="ja-JP" altLang="en-US" sz="1100"/>
            <a:t>セルで判定し、</a:t>
          </a:r>
          <a:r>
            <a:rPr kumimoji="1" lang="en-US" altLang="ja-JP" sz="1100"/>
            <a:t>vlookup</a:t>
          </a:r>
          <a:r>
            <a:rPr kumimoji="1" lang="ja-JP" altLang="en-US" sz="1100"/>
            <a:t>で引っ張っています。</a:t>
          </a:r>
        </a:p>
      </xdr:txBody>
    </xdr:sp>
    <xdr:clientData/>
  </xdr:twoCellAnchor>
  <xdr:twoCellAnchor>
    <xdr:from>
      <xdr:col>9</xdr:col>
      <xdr:colOff>468922</xdr:colOff>
      <xdr:row>63</xdr:row>
      <xdr:rowOff>145365</xdr:rowOff>
    </xdr:from>
    <xdr:to>
      <xdr:col>15</xdr:col>
      <xdr:colOff>321211</xdr:colOff>
      <xdr:row>68</xdr:row>
      <xdr:rowOff>63304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64214" y="11153334"/>
          <a:ext cx="4016326" cy="7620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←税額の表示の部分に表示する文言です。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文言のテンプレートを作って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H63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セルで判定し、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で引っ張っています。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49237</xdr:colOff>
      <xdr:row>8</xdr:row>
      <xdr:rowOff>42204</xdr:rowOff>
    </xdr:from>
    <xdr:to>
      <xdr:col>17</xdr:col>
      <xdr:colOff>569742</xdr:colOff>
      <xdr:row>8</xdr:row>
      <xdr:rowOff>42204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9237" y="1582616"/>
          <a:ext cx="1197864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583809</xdr:colOff>
      <xdr:row>7</xdr:row>
      <xdr:rowOff>77372</xdr:rowOff>
    </xdr:from>
    <xdr:to>
      <xdr:col>9</xdr:col>
      <xdr:colOff>253218</xdr:colOff>
      <xdr:row>9</xdr:row>
      <xdr:rowOff>28134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044461" y="1448972"/>
          <a:ext cx="2504049" cy="28838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以降は基本的にはメンテナンス不要</a:t>
          </a:r>
        </a:p>
      </xdr:txBody>
    </xdr:sp>
    <xdr:clientData/>
  </xdr:twoCellAnchor>
  <xdr:twoCellAnchor>
    <xdr:from>
      <xdr:col>18</xdr:col>
      <xdr:colOff>82060</xdr:colOff>
      <xdr:row>6</xdr:row>
      <xdr:rowOff>138332</xdr:rowOff>
    </xdr:from>
    <xdr:to>
      <xdr:col>26</xdr:col>
      <xdr:colOff>520504</xdr:colOff>
      <xdr:row>28</xdr:row>
      <xdr:rowOff>14068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053666" y="1341120"/>
          <a:ext cx="5390272" cy="37443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←医療・支援</a:t>
          </a:r>
          <a:endParaRPr kumimoji="1" lang="en-US" altLang="ja-JP" sz="1100"/>
        </a:p>
        <a:p>
          <a:pPr algn="l"/>
          <a:r>
            <a:rPr kumimoji="1" lang="ja-JP" altLang="en-US" sz="1100"/>
            <a:t>基礎計算（１２か月相当で計算）</a:t>
          </a:r>
          <a:endParaRPr kumimoji="1" lang="en-US" altLang="ja-JP" sz="1100"/>
        </a:p>
        <a:p>
          <a:pPr algn="l"/>
          <a:r>
            <a:rPr kumimoji="1" lang="ja-JP" altLang="en-US" sz="1100"/>
            <a:t>・所得割：加入１のもののみ所得割算定基礎を算出、その合計に税率を掛けています。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・均等割：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加入１の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合計に税率を掛けています。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・平等割：均等割に額があれば、税率のとおり。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軽減計算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（１２か月相当で計算）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軽減判定の結果から、軽減割合を基礎計算の均等割と平等割に掛けています。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未就学児均等割軽減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（１２か月相当で計算）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・対象者判定：入力された生年月日と</a:t>
          </a:r>
          <a:r>
            <a:rPr kumimoji="1" lang="en-US" altLang="ja-JP" sz="1100"/>
            <a:t>O9</a:t>
          </a:r>
          <a:r>
            <a:rPr kumimoji="1" lang="ja-JP" altLang="en-US" sz="1100"/>
            <a:t>セルを比較</a:t>
          </a:r>
          <a:endParaRPr kumimoji="1" lang="en-US" altLang="ja-JP" sz="1100"/>
        </a:p>
        <a:p>
          <a:pPr algn="l"/>
          <a:r>
            <a:rPr kumimoji="1" lang="ja-JP" altLang="en-US" sz="1100"/>
            <a:t>・軽減額の計算：</a:t>
          </a:r>
          <a:endParaRPr kumimoji="1" lang="en-US" altLang="ja-JP" sz="1100"/>
        </a:p>
        <a:p>
          <a:pPr algn="l"/>
          <a:r>
            <a:rPr kumimoji="1" lang="ja-JP" altLang="en-US" sz="1100"/>
            <a:t>　均等割率ｘ人数ｘ（１－軽減割合）</a:t>
          </a:r>
          <a:r>
            <a:rPr kumimoji="1" lang="en-US" altLang="ja-JP" sz="1100"/>
            <a:t>/2</a:t>
          </a:r>
        </a:p>
        <a:p>
          <a:pPr algn="l"/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限度額との比較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（１２か月相当で計算）</a:t>
          </a:r>
          <a:endParaRPr kumimoji="1" lang="en-US" altLang="ja-JP" sz="1100"/>
        </a:p>
        <a:p>
          <a:pPr algn="l"/>
          <a:r>
            <a:rPr kumimoji="1" lang="ja-JP" altLang="en-US" sz="1100"/>
            <a:t>基礎計算ー軽減ー未就学児軽減と比較しています。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限度額の方が安ければ限度額にしています。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最後に加入月数分に調整</a:t>
          </a:r>
          <a:endParaRPr kumimoji="1" lang="en-US" altLang="ja-JP" sz="1100"/>
        </a:p>
      </xdr:txBody>
    </xdr:sp>
    <xdr:clientData/>
  </xdr:twoCellAnchor>
  <xdr:twoCellAnchor>
    <xdr:from>
      <xdr:col>2</xdr:col>
      <xdr:colOff>239151</xdr:colOff>
      <xdr:row>28</xdr:row>
      <xdr:rowOff>91440</xdr:rowOff>
    </xdr:from>
    <xdr:to>
      <xdr:col>8</xdr:col>
      <xdr:colOff>28135</xdr:colOff>
      <xdr:row>34</xdr:row>
      <xdr:rowOff>91440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702191" y="4670474"/>
          <a:ext cx="3763107" cy="1012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介護分の計算は「介護</a:t>
          </a:r>
          <a:r>
            <a:rPr kumimoji="1" lang="en-US" altLang="ja-JP" sz="1100"/>
            <a:t>2</a:t>
          </a:r>
          <a:r>
            <a:rPr kumimoji="1" lang="ja-JP" altLang="en-US" sz="1100"/>
            <a:t>号判定」シートに移行しました。</a:t>
          </a:r>
        </a:p>
      </xdr:txBody>
    </xdr:sp>
    <xdr:clientData/>
  </xdr:twoCellAnchor>
  <xdr:twoCellAnchor>
    <xdr:from>
      <xdr:col>9</xdr:col>
      <xdr:colOff>211014</xdr:colOff>
      <xdr:row>42</xdr:row>
      <xdr:rowOff>126609</xdr:rowOff>
    </xdr:from>
    <xdr:to>
      <xdr:col>15</xdr:col>
      <xdr:colOff>63303</xdr:colOff>
      <xdr:row>51</xdr:row>
      <xdr:rowOff>7034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260122" y="7069015"/>
          <a:ext cx="3727938" cy="13997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←軽減判定所得を計算しています。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給与年金所得については、</a:t>
          </a:r>
          <a:r>
            <a:rPr kumimoji="1" lang="en-US" altLang="ja-JP" sz="1100"/>
            <a:t>3</a:t>
          </a:r>
          <a:r>
            <a:rPr kumimoji="1" lang="ja-JP" altLang="en-US" sz="1100"/>
            <a:t>以後給与・・・（基礎）で計算し、</a:t>
          </a:r>
          <a:r>
            <a:rPr kumimoji="1" lang="en-US" altLang="ja-JP" sz="1100"/>
            <a:t>65</a:t>
          </a:r>
          <a:r>
            <a:rPr kumimoji="1" lang="ja-JP" altLang="en-US" sz="1100"/>
            <a:t>以降の給与所得のみ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以後給与・・・（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軽減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で計算しています。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軽減の給与年金所得がある場合にフラグを立ててカウントし、軽減の閾値を求めています。（給与所得者等</a:t>
          </a:r>
          <a:r>
            <a:rPr kumimoji="1" lang="en-US" altLang="ja-JP" sz="1100"/>
            <a:t>-1</a:t>
          </a:r>
          <a:r>
            <a:rPr kumimoji="1" lang="ja-JP" altLang="en-US" sz="1100"/>
            <a:t>の部分）</a:t>
          </a:r>
          <a:endParaRPr kumimoji="1" lang="en-US" altLang="ja-JP" sz="1100"/>
        </a:p>
      </xdr:txBody>
    </xdr:sp>
    <xdr:clientData/>
  </xdr:twoCellAnchor>
  <xdr:twoCellAnchor>
    <xdr:from>
      <xdr:col>15</xdr:col>
      <xdr:colOff>365759</xdr:colOff>
      <xdr:row>0</xdr:row>
      <xdr:rowOff>84406</xdr:rowOff>
    </xdr:from>
    <xdr:to>
      <xdr:col>27</xdr:col>
      <xdr:colOff>35169</xdr:colOff>
      <xdr:row>6</xdr:row>
      <xdr:rowOff>14067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276448" y="84406"/>
          <a:ext cx="6858001" cy="1132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</a:t>
          </a:r>
          <a:r>
            <a:rPr kumimoji="1" lang="en-US" altLang="ja-JP" sz="1100"/>
            <a:t>!!</a:t>
          </a:r>
        </a:p>
        <a:p>
          <a:r>
            <a:rPr kumimoji="1" lang="ja-JP" altLang="en-US" sz="1100"/>
            <a:t>条例は差引方式で賦課する仕様ですが、１つのＥＸＣＥＬファイルで再現することが困難なため、今後のメンテナンスも考え、視覚的に分かりやすい積上方式で簡易計算しています。（それでも分かりづらかったらすみません</a:t>
          </a:r>
          <a:r>
            <a:rPr kumimoji="1" lang="en-US" altLang="ja-JP" sz="1100"/>
            <a:t>...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差引方式と積上方式の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計算結果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/>
            <a:t>端数レベルですが若干異なります。（各区分</a:t>
          </a:r>
          <a:r>
            <a:rPr kumimoji="1" lang="en-US" altLang="ja-JP" sz="1100"/>
            <a:t>0</a:t>
          </a:r>
          <a:r>
            <a:rPr kumimoji="1" lang="ja-JP" altLang="en-US" sz="1100"/>
            <a:t>～</a:t>
          </a:r>
          <a:r>
            <a:rPr kumimoji="1" lang="en-US" altLang="ja-JP" sz="1100"/>
            <a:t>200</a:t>
          </a:r>
          <a:r>
            <a:rPr kumimoji="1" lang="ja-JP" altLang="en-US" sz="1100"/>
            <a:t>円程度）</a:t>
          </a:r>
          <a:endParaRPr kumimoji="1" lang="en-US" altLang="ja-JP" sz="1100"/>
        </a:p>
        <a:p>
          <a:r>
            <a:rPr kumimoji="1" lang="ja-JP" altLang="en-US" sz="1100"/>
            <a:t>そのため、このファイルはあくまで「概算」するためのツールになります。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49237</xdr:colOff>
      <xdr:row>14</xdr:row>
      <xdr:rowOff>154745</xdr:rowOff>
    </xdr:from>
    <xdr:to>
      <xdr:col>61</xdr:col>
      <xdr:colOff>28136</xdr:colOff>
      <xdr:row>18</xdr:row>
      <xdr:rowOff>147711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28203" y="2532185"/>
          <a:ext cx="4550899" cy="668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給与収入・年金収入から、給与所得・年金所得を算出するシートです。</a:t>
          </a:r>
          <a:endParaRPr kumimoji="1" lang="en-US" altLang="ja-JP" sz="1100"/>
        </a:p>
        <a:p>
          <a:r>
            <a:rPr kumimoji="1" lang="en-US" altLang="ja-JP" sz="1100"/>
            <a:t>850</a:t>
          </a:r>
          <a:r>
            <a:rPr kumimoji="1" lang="ja-JP" altLang="en-US" sz="1100"/>
            <a:t>万円以上の給与所得調整控除１については非対応です。</a:t>
          </a:r>
          <a:endParaRPr kumimoji="1" lang="en-US" altLang="ja-JP" sz="1100"/>
        </a:p>
        <a:p>
          <a:r>
            <a:rPr kumimoji="1" lang="ja-JP" altLang="en-US" sz="1100"/>
            <a:t>概算表と同じもので計算しています。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84405</xdr:colOff>
      <xdr:row>16</xdr:row>
      <xdr:rowOff>42204</xdr:rowOff>
    </xdr:from>
    <xdr:to>
      <xdr:col>60</xdr:col>
      <xdr:colOff>154744</xdr:colOff>
      <xdr:row>19</xdr:row>
      <xdr:rowOff>56270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363371" y="2757269"/>
          <a:ext cx="4452425" cy="5205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65</a:t>
          </a:r>
          <a:r>
            <a:rPr kumimoji="1" lang="ja-JP" altLang="en-US" sz="1100"/>
            <a:t>歳以上の軽減判定用の給与所得の計算のためのシートです。</a:t>
          </a:r>
          <a:endParaRPr kumimoji="1" lang="en-US" altLang="ja-JP" sz="1100"/>
        </a:p>
        <a:p>
          <a:r>
            <a:rPr kumimoji="1" lang="en-US" altLang="ja-JP" sz="1100"/>
            <a:t>65</a:t>
          </a:r>
          <a:r>
            <a:rPr kumimoji="1" lang="ja-JP" altLang="en-US" sz="1100"/>
            <a:t>歳未満はエラーが出ますが、参照してませんので問題ありません。</a:t>
          </a: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330590</xdr:colOff>
      <xdr:row>3</xdr:row>
      <xdr:rowOff>49237</xdr:rowOff>
    </xdr:from>
    <xdr:to>
      <xdr:col>20</xdr:col>
      <xdr:colOff>555674</xdr:colOff>
      <xdr:row>18</xdr:row>
      <xdr:rowOff>105508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958861" y="1139483"/>
          <a:ext cx="7512148" cy="25884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←計算対象者の介護分の適用月数を求める表です。</a:t>
          </a:r>
          <a:endParaRPr kumimoji="1" lang="en-US" altLang="ja-JP" sz="1100"/>
        </a:p>
        <a:p>
          <a:pPr algn="l"/>
          <a:r>
            <a:rPr kumimoji="1" lang="ja-JP" altLang="en-US" sz="1100"/>
            <a:t>必要月数を、</a:t>
          </a:r>
          <a:endParaRPr kumimoji="1" lang="en-US" altLang="ja-JP" sz="1100"/>
        </a:p>
        <a:p>
          <a:pPr algn="l"/>
          <a:r>
            <a:rPr kumimoji="1" lang="en-US" altLang="ja-JP" sz="1100"/>
            <a:t>vlookup(</a:t>
          </a:r>
          <a:r>
            <a:rPr kumimoji="1" lang="ja-JP" altLang="en-US" sz="1100"/>
            <a:t>生年月日</a:t>
          </a:r>
          <a:r>
            <a:rPr kumimoji="1" lang="en-US" altLang="ja-JP" sz="1100"/>
            <a:t>,C</a:t>
          </a:r>
          <a:r>
            <a:rPr kumimoji="1" lang="ja-JP" altLang="en-US" sz="1100"/>
            <a:t>列から</a:t>
          </a:r>
          <a:r>
            <a:rPr kumimoji="1" lang="en-US" altLang="ja-JP" sz="1100"/>
            <a:t>G</a:t>
          </a:r>
          <a:r>
            <a:rPr kumimoji="1" lang="ja-JP" altLang="en-US" sz="1100"/>
            <a:t>列を参照</a:t>
          </a:r>
          <a:r>
            <a:rPr kumimoji="1" lang="en-US" altLang="ja-JP" sz="1100"/>
            <a:t>,G</a:t>
          </a:r>
          <a:r>
            <a:rPr kumimoji="1" lang="ja-JP" altLang="en-US" sz="1100"/>
            <a:t>列を返す</a:t>
          </a:r>
          <a:r>
            <a:rPr kumimoji="1" lang="en-US" altLang="ja-JP" sz="1100"/>
            <a:t>,TRUE)</a:t>
          </a:r>
        </a:p>
        <a:p>
          <a:pPr algn="l"/>
          <a:r>
            <a:rPr kumimoji="1" lang="ja-JP" altLang="en-US" sz="1100"/>
            <a:t>で引っ張っています。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Ｆ列では、生年月日ごとに４月～３月までで必要な介護分月数を示しています。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ただし、加入月によって、加入月～３月までで必要な介護分月数となるため、</a:t>
          </a:r>
          <a:r>
            <a:rPr kumimoji="1" lang="en-US" altLang="ja-JP" sz="1100"/>
            <a:t>G</a:t>
          </a:r>
          <a:r>
            <a:rPr kumimoji="1" lang="ja-JP" altLang="en-US" sz="1100"/>
            <a:t>列でそれを適用しています。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例：</a:t>
          </a:r>
          <a:endParaRPr kumimoji="1" lang="en-US" altLang="ja-JP" sz="1100"/>
        </a:p>
        <a:p>
          <a:pPr algn="l"/>
          <a:r>
            <a:rPr kumimoji="1" lang="ja-JP" altLang="en-US" sz="1100"/>
            <a:t>①今年度の６月に４０到達　の方が　８月から加入　の概算の時</a:t>
          </a:r>
          <a:endParaRPr kumimoji="1" lang="en-US" altLang="ja-JP" sz="1100"/>
        </a:p>
        <a:p>
          <a:pPr algn="l"/>
          <a:r>
            <a:rPr kumimoji="1" lang="ja-JP" altLang="en-US" sz="1100"/>
            <a:t>年度通して考えるＦ列は６～３月まで１０か月分だが、加入が８月からなので、Ｇ列で８月～３月までの８か月分を返します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②今年度の１１月に６５到達　の方が　８月から加入　の概算の時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年度通して考える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Ｆ列は４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月まで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か月分だが、加入が８月から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なので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Ｇ列で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８月～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月までの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か月分を返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します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243838</xdr:colOff>
      <xdr:row>21</xdr:row>
      <xdr:rowOff>161778</xdr:rowOff>
    </xdr:from>
    <xdr:to>
      <xdr:col>20</xdr:col>
      <xdr:colOff>314176</xdr:colOff>
      <xdr:row>31</xdr:row>
      <xdr:rowOff>70338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872109" y="4290646"/>
          <a:ext cx="7357402" cy="16037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>
              <a:effectLst/>
            </a:rPr>
            <a:t>↓介護分を計算しています。</a:t>
          </a:r>
          <a:endParaRPr lang="en-US" altLang="ja-JP">
            <a:effectLst/>
          </a:endParaRPr>
        </a:p>
        <a:p>
          <a:pPr algn="l"/>
          <a:r>
            <a:rPr lang="ja-JP" altLang="en-US">
              <a:effectLst/>
            </a:rPr>
            <a:t>必要月数をどこに割り振るかとして、</a:t>
          </a:r>
          <a:r>
            <a:rPr lang="en-US" altLang="ja-JP">
              <a:effectLst/>
            </a:rPr>
            <a:t>65</a:t>
          </a:r>
          <a:r>
            <a:rPr lang="ja-JP" altLang="en-US">
              <a:effectLst/>
            </a:rPr>
            <a:t>判定を使用しています。</a:t>
          </a:r>
          <a:endParaRPr lang="en-US" altLang="ja-JP">
            <a:effectLst/>
          </a:endParaRPr>
        </a:p>
        <a:p>
          <a:pPr algn="l"/>
          <a:r>
            <a:rPr lang="en-US" altLang="ja-JP">
              <a:effectLst/>
            </a:rPr>
            <a:t>65</a:t>
          </a:r>
          <a:r>
            <a:rPr lang="ja-JP" altLang="en-US">
              <a:effectLst/>
            </a:rPr>
            <a:t>判定</a:t>
          </a:r>
          <a:r>
            <a:rPr lang="en-US" altLang="ja-JP">
              <a:effectLst/>
            </a:rPr>
            <a:t>1</a:t>
          </a:r>
          <a:r>
            <a:rPr lang="ja-JP" altLang="en-US">
              <a:effectLst/>
            </a:rPr>
            <a:t>：今年度</a:t>
          </a:r>
          <a:r>
            <a:rPr lang="en-US" altLang="ja-JP">
              <a:effectLst/>
            </a:rPr>
            <a:t>65</a:t>
          </a:r>
          <a:r>
            <a:rPr lang="ja-JP" altLang="en-US">
              <a:effectLst/>
            </a:rPr>
            <a:t>到達する人（</a:t>
          </a:r>
          <a:r>
            <a:rPr lang="en-US" altLang="ja-JP">
              <a:effectLst/>
            </a:rPr>
            <a:t>C5</a:t>
          </a:r>
          <a:r>
            <a:rPr lang="ja-JP" altLang="en-US">
              <a:effectLst/>
            </a:rPr>
            <a:t>～</a:t>
          </a:r>
          <a:r>
            <a:rPr lang="en-US" altLang="ja-JP">
              <a:effectLst/>
            </a:rPr>
            <a:t>E15</a:t>
          </a:r>
          <a:r>
            <a:rPr lang="ja-JP" altLang="en-US">
              <a:effectLst/>
            </a:rPr>
            <a:t>までの生年月日）。開始月から必要月数分だけ割り振っています。</a:t>
          </a:r>
          <a:endParaRPr lang="en-US" altLang="ja-JP">
            <a:effectLst/>
          </a:endParaRPr>
        </a:p>
        <a:p>
          <a:pPr algn="l"/>
          <a:r>
            <a:rPr lang="en-US" altLang="ja-JP">
              <a:effectLst/>
            </a:rPr>
            <a:t>65</a:t>
          </a:r>
          <a:r>
            <a:rPr lang="ja-JP" altLang="en-US">
              <a:effectLst/>
            </a:rPr>
            <a:t>判定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：終了月（</a:t>
          </a:r>
          <a:r>
            <a:rPr lang="en-US" altLang="ja-JP">
              <a:effectLst/>
            </a:rPr>
            <a:t>3</a:t>
          </a:r>
          <a:r>
            <a:rPr lang="ja-JP" altLang="en-US">
              <a:effectLst/>
            </a:rPr>
            <a:t>月）から必要月数分だけ割り振っています。</a:t>
          </a:r>
          <a:endParaRPr lang="en-US" altLang="ja-JP">
            <a:effectLst/>
          </a:endParaRPr>
        </a:p>
        <a:p>
          <a:pPr algn="l"/>
          <a:endParaRPr lang="en-US" altLang="ja-JP">
            <a:effectLst/>
          </a:endParaRPr>
        </a:p>
        <a:p>
          <a:pPr algn="l"/>
          <a:r>
            <a:rPr lang="ja-JP" altLang="en-US">
              <a:effectLst/>
            </a:rPr>
            <a:t>月ごとに税額計算して合計している（積上方式）ので、本来の算出方法（１２か月分算定して月割調整する差引方式）とは方法が異なっています。</a:t>
          </a:r>
          <a:endParaRPr lang="en-US" altLang="ja-JP">
            <a:effectLst/>
          </a:endParaRPr>
        </a:p>
        <a:p>
          <a:pPr algn="l"/>
          <a:r>
            <a:rPr lang="ja-JP" altLang="en-US">
              <a:effectLst/>
            </a:rPr>
            <a:t>月ごとに限度額を超えるかどうかをＥＸＣＥＬで簡単に判定するため、積上方式で計算しています。</a:t>
          </a:r>
          <a:endParaRPr lang="en-US" altLang="ja-JP">
            <a:effectLst/>
          </a:endParaRPr>
        </a:p>
      </xdr:txBody>
    </xdr:sp>
    <xdr:clientData/>
  </xdr:twoCellAnchor>
  <xdr:twoCellAnchor>
    <xdr:from>
      <xdr:col>19</xdr:col>
      <xdr:colOff>175844</xdr:colOff>
      <xdr:row>36</xdr:row>
      <xdr:rowOff>91441</xdr:rowOff>
    </xdr:from>
    <xdr:to>
      <xdr:col>29</xdr:col>
      <xdr:colOff>407962</xdr:colOff>
      <xdr:row>53</xdr:row>
      <xdr:rowOff>105508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472201" y="7772401"/>
          <a:ext cx="6421903" cy="2883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←介護分必要月数の数式の説明（世帯主の７月で説明しています）</a:t>
          </a:r>
          <a:endParaRPr kumimoji="1" lang="en-US" altLang="ja-JP" sz="1100"/>
        </a:p>
        <a:p>
          <a:r>
            <a:rPr kumimoji="1" lang="en-US" altLang="ja-JP" sz="1100"/>
            <a:t>=IF(OR(K$43=0,$F49=0),0,IF($G49=1,IF($F49&gt;=COUNTIF($H$43:K$43,1),1,0),IF(16-$F49&lt;=K$48,1,0)))</a:t>
          </a:r>
        </a:p>
        <a:p>
          <a:r>
            <a:rPr kumimoji="1" lang="ja-JP" altLang="en-US" sz="1100"/>
            <a:t>①加入月でない、または介護分の月数が０の場合０を返します。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IF(OR(K$43=0,$F49=0),0,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判定フラグが１の人を先に計算します。（介護分必要月を前からカウント）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IF($G49=1,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４３行目の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から当月までの１の数をカウントすることで、当月までの加入月数がわかります。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、・・・だと、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月までの加入月数は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介護分必要月</a:t>
          </a:r>
          <a:r>
            <a:rPr kumimoji="1" lang="en-US" altLang="ja-JP" sz="1100"/>
            <a:t>F49</a:t>
          </a:r>
          <a:r>
            <a:rPr kumimoji="1" lang="ja-JP" altLang="en-US" sz="1100"/>
            <a:t>が当月までの加入月数以上の場合は１を、未満は０を返します。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IF($F49&gt;=COUNTIF($H$43:K$43,1),1,0)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判定フラグが０の人を計算します。（介護分必要月を後ろからカウント）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４２行目の４～１５を用いて、後ろから必要月数を把握します。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例えば６～３月の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か月必要な場合、４２行目の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は必要、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は不要としたいため、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ー必要月数）とすることで、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ー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となり、４２行目が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以上なら１、未満なら０を返しています。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IF(16-$F49&lt;=K$48,1,0)</a:t>
          </a:r>
          <a:endParaRPr kumimoji="1" lang="ja-JP" altLang="en-US" sz="1100"/>
        </a:p>
      </xdr:txBody>
    </xdr:sp>
    <xdr:clientData/>
  </xdr:twoCellAnchor>
  <xdr:twoCellAnchor>
    <xdr:from>
      <xdr:col>5</xdr:col>
      <xdr:colOff>295420</xdr:colOff>
      <xdr:row>35</xdr:row>
      <xdr:rowOff>77373</xdr:rowOff>
    </xdr:from>
    <xdr:to>
      <xdr:col>6</xdr:col>
      <xdr:colOff>443132</xdr:colOff>
      <xdr:row>38</xdr:row>
      <xdr:rowOff>91440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897943" y="6576647"/>
          <a:ext cx="1104315" cy="520504"/>
        </a:xfrm>
        <a:prstGeom prst="borderCallout1">
          <a:avLst>
            <a:gd name="adj1" fmla="val 106588"/>
            <a:gd name="adj2" fmla="val 78291"/>
            <a:gd name="adj3" fmla="val 186825"/>
            <a:gd name="adj4" fmla="val 10561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C5</a:t>
          </a:r>
          <a:r>
            <a:rPr kumimoji="1" lang="ja-JP" altLang="en-US" sz="1100"/>
            <a:t>～</a:t>
          </a:r>
          <a:r>
            <a:rPr kumimoji="1" lang="en-US" altLang="ja-JP" sz="1100"/>
            <a:t>E15</a:t>
          </a:r>
          <a:r>
            <a:rPr kumimoji="1" lang="ja-JP" altLang="en-US" sz="1100"/>
            <a:t>までの生年月日の人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W37"/>
  <sheetViews>
    <sheetView tabSelected="1" view="pageBreakPreview" zoomScale="70" zoomScaleNormal="70" zoomScaleSheetLayoutView="70" workbookViewId="0">
      <selection activeCell="C6" sqref="C6"/>
    </sheetView>
  </sheetViews>
  <sheetFormatPr defaultColWidth="8.69921875" defaultRowHeight="25.2" customHeight="1" x14ac:dyDescent="0.2"/>
  <cols>
    <col min="1" max="1" width="1.59765625" style="79" customWidth="1"/>
    <col min="2" max="2" width="10.59765625" style="79" customWidth="1"/>
    <col min="3" max="3" width="7.5" style="79" customWidth="1"/>
    <col min="4" max="6" width="5.19921875" style="79" customWidth="1"/>
    <col min="7" max="10" width="13.69921875" style="79" customWidth="1"/>
    <col min="11" max="11" width="17.19921875" style="79" customWidth="1"/>
    <col min="12" max="12" width="14.5" style="79" customWidth="1"/>
    <col min="13" max="13" width="14" style="79" customWidth="1"/>
    <col min="14" max="14" width="6.8984375" style="79" customWidth="1"/>
    <col min="15" max="15" width="2.8984375" style="79" customWidth="1"/>
    <col min="16" max="16" width="14.59765625" style="79" customWidth="1"/>
    <col min="17" max="20" width="13.69921875" style="79" customWidth="1"/>
    <col min="21" max="21" width="8.3984375" style="79" customWidth="1"/>
    <col min="22" max="22" width="7.8984375" style="79" customWidth="1"/>
    <col min="23" max="24" width="0" style="79" hidden="1" customWidth="1"/>
    <col min="25" max="16384" width="8.69921875" style="79"/>
  </cols>
  <sheetData>
    <row r="1" spans="2:23" ht="25.2" customHeight="1" x14ac:dyDescent="0.2">
      <c r="B1" s="198" t="str">
        <f>"令和"&amp;(税率!B1-2018)&amp;"年度　豊橋市　国民健康保険税の概算表"</f>
        <v>令和8年度　豊橋市　国民健康保険税の概算表</v>
      </c>
      <c r="C1" s="78"/>
      <c r="D1" s="197"/>
      <c r="E1" s="197"/>
      <c r="F1" s="197"/>
      <c r="G1" s="197"/>
      <c r="H1" s="197"/>
      <c r="I1" s="197"/>
      <c r="J1" s="197"/>
      <c r="K1" s="197"/>
      <c r="P1" s="227" t="s">
        <v>100</v>
      </c>
      <c r="Q1" s="227"/>
      <c r="R1" s="227"/>
      <c r="S1" s="227"/>
      <c r="T1" s="227"/>
      <c r="U1" s="227"/>
    </row>
    <row r="2" spans="2:23" ht="14.95" customHeight="1" x14ac:dyDescent="0.2">
      <c r="P2" s="227"/>
      <c r="Q2" s="227"/>
      <c r="R2" s="227"/>
      <c r="S2" s="227"/>
      <c r="T2" s="227"/>
      <c r="U2" s="227"/>
    </row>
    <row r="3" spans="2:23" ht="25.2" customHeight="1" x14ac:dyDescent="0.2">
      <c r="B3" s="80" t="s">
        <v>104</v>
      </c>
      <c r="P3" s="238" t="s">
        <v>99</v>
      </c>
      <c r="Q3" s="238"/>
      <c r="R3" s="238"/>
      <c r="S3" s="238"/>
      <c r="T3" s="238"/>
      <c r="U3" s="238"/>
      <c r="V3" s="172"/>
    </row>
    <row r="4" spans="2:23" ht="25.2" customHeight="1" thickBot="1" x14ac:dyDescent="0.25">
      <c r="B4" s="239"/>
      <c r="C4" s="253" t="s">
        <v>72</v>
      </c>
      <c r="D4" s="254"/>
      <c r="E4" s="254"/>
      <c r="F4" s="255"/>
      <c r="G4" s="249" t="str">
        <f>"前年（令和"&amp;税率!B1-2019&amp;"年）の総所得金額等"</f>
        <v>前年（令和7年）の総所得金額等</v>
      </c>
      <c r="H4" s="250"/>
      <c r="I4" s="250"/>
      <c r="J4" s="250"/>
      <c r="K4" s="250"/>
      <c r="L4" s="231"/>
      <c r="M4" s="251" t="s">
        <v>145</v>
      </c>
      <c r="N4" s="246" t="s">
        <v>144</v>
      </c>
      <c r="O4" s="159"/>
      <c r="P4" s="177"/>
      <c r="Q4" s="79" t="s">
        <v>71</v>
      </c>
      <c r="W4" s="246" t="s">
        <v>111</v>
      </c>
    </row>
    <row r="5" spans="2:23" ht="25.2" customHeight="1" thickBot="1" x14ac:dyDescent="0.25">
      <c r="B5" s="248"/>
      <c r="C5" s="122" t="s">
        <v>107</v>
      </c>
      <c r="D5" s="123" t="s">
        <v>108</v>
      </c>
      <c r="E5" s="123" t="s">
        <v>109</v>
      </c>
      <c r="F5" s="123" t="s">
        <v>110</v>
      </c>
      <c r="G5" s="107" t="s">
        <v>140</v>
      </c>
      <c r="H5" s="108" t="s">
        <v>29</v>
      </c>
      <c r="I5" s="107" t="s">
        <v>141</v>
      </c>
      <c r="J5" s="109" t="s">
        <v>30</v>
      </c>
      <c r="K5" s="110" t="s">
        <v>142</v>
      </c>
      <c r="L5" s="171" t="s">
        <v>143</v>
      </c>
      <c r="M5" s="252"/>
      <c r="N5" s="247"/>
      <c r="O5" s="159"/>
      <c r="P5" s="206" t="s">
        <v>227</v>
      </c>
      <c r="W5" s="247"/>
    </row>
    <row r="6" spans="2:23" ht="25.2" customHeight="1" thickTop="1" x14ac:dyDescent="0.2">
      <c r="B6" s="111" t="s">
        <v>45</v>
      </c>
      <c r="C6" s="124"/>
      <c r="D6" s="124"/>
      <c r="E6" s="124"/>
      <c r="F6" s="188"/>
      <c r="G6" s="112"/>
      <c r="H6" s="113">
        <f>'給与年金(基礎)'!BQ5</f>
        <v>0</v>
      </c>
      <c r="I6" s="112"/>
      <c r="J6" s="114">
        <f>'給与年金(基礎)'!BR5</f>
        <v>0</v>
      </c>
      <c r="K6" s="115"/>
      <c r="L6" s="116">
        <f t="shared" ref="L6:L15" si="0">H6+J6+K6</f>
        <v>0</v>
      </c>
      <c r="M6" s="120" t="s">
        <v>204</v>
      </c>
      <c r="N6" s="168" t="str">
        <f ca="1">IF(税率!I72=1,IF(M6="加入する","対象","OK"),"")</f>
        <v/>
      </c>
      <c r="O6" s="169"/>
      <c r="P6" s="81" t="s">
        <v>226</v>
      </c>
      <c r="W6" s="149">
        <f t="shared" ref="W6:W15" si="1">IF(C6="",0,DATE(IF(C6="大正",1912,IF(C6="昭和",1926,IF(C6="平成",1989,2019)))+D6-1,E6,F6))</f>
        <v>0</v>
      </c>
    </row>
    <row r="7" spans="2:23" ht="25.2" customHeight="1" x14ac:dyDescent="0.2">
      <c r="B7" s="101" t="s">
        <v>88</v>
      </c>
      <c r="C7" s="125"/>
      <c r="D7" s="125"/>
      <c r="E7" s="125"/>
      <c r="F7" s="125"/>
      <c r="G7" s="102"/>
      <c r="H7" s="103">
        <f>'給与年金(基礎)'!BQ6</f>
        <v>0</v>
      </c>
      <c r="I7" s="102"/>
      <c r="J7" s="104">
        <f>'給与年金(基礎)'!BR6</f>
        <v>0</v>
      </c>
      <c r="K7" s="105"/>
      <c r="L7" s="106">
        <f t="shared" si="0"/>
        <v>0</v>
      </c>
      <c r="M7" s="173"/>
      <c r="N7" s="170" t="str">
        <f ca="1">IF(税率!I73=0,"","対象")</f>
        <v/>
      </c>
      <c r="O7" s="169"/>
      <c r="P7" s="79" t="s">
        <v>97</v>
      </c>
      <c r="Q7" s="82"/>
      <c r="R7" s="82"/>
      <c r="S7" s="82"/>
      <c r="T7" s="82"/>
      <c r="W7" s="149">
        <f t="shared" si="1"/>
        <v>0</v>
      </c>
    </row>
    <row r="8" spans="2:23" ht="25.2" customHeight="1" x14ac:dyDescent="0.2">
      <c r="B8" s="88" t="s">
        <v>89</v>
      </c>
      <c r="C8" s="126"/>
      <c r="D8" s="126"/>
      <c r="E8" s="126"/>
      <c r="F8" s="126"/>
      <c r="G8" s="89"/>
      <c r="H8" s="90">
        <f>'給与年金(基礎)'!BQ7</f>
        <v>0</v>
      </c>
      <c r="I8" s="89"/>
      <c r="J8" s="91">
        <f>'給与年金(基礎)'!BR7</f>
        <v>0</v>
      </c>
      <c r="K8" s="92"/>
      <c r="L8" s="93">
        <f t="shared" si="0"/>
        <v>0</v>
      </c>
      <c r="M8" s="174"/>
      <c r="N8" s="170" t="str">
        <f ca="1">IF(税率!I74=0,"","対象")</f>
        <v/>
      </c>
      <c r="O8" s="169"/>
      <c r="P8" s="78" t="s">
        <v>125</v>
      </c>
      <c r="W8" s="149">
        <f t="shared" si="1"/>
        <v>0</v>
      </c>
    </row>
    <row r="9" spans="2:23" ht="25.2" customHeight="1" x14ac:dyDescent="0.2">
      <c r="B9" s="88" t="s">
        <v>90</v>
      </c>
      <c r="C9" s="94"/>
      <c r="D9" s="94"/>
      <c r="E9" s="94"/>
      <c r="F9" s="94"/>
      <c r="G9" s="89"/>
      <c r="H9" s="90">
        <f>'給与年金(基礎)'!BQ8</f>
        <v>0</v>
      </c>
      <c r="I9" s="89"/>
      <c r="J9" s="91">
        <f>'給与年金(基礎)'!BR8</f>
        <v>0</v>
      </c>
      <c r="K9" s="92"/>
      <c r="L9" s="93">
        <f t="shared" si="0"/>
        <v>0</v>
      </c>
      <c r="M9" s="174"/>
      <c r="N9" s="170" t="str">
        <f ca="1">IF(税率!I75=0,"","対象")</f>
        <v/>
      </c>
      <c r="O9" s="169"/>
      <c r="P9" s="228" t="s">
        <v>126</v>
      </c>
      <c r="Q9" s="228"/>
      <c r="R9" s="228"/>
      <c r="S9" s="228"/>
      <c r="T9" s="228"/>
      <c r="U9" s="228"/>
      <c r="W9" s="149">
        <f t="shared" si="1"/>
        <v>0</v>
      </c>
    </row>
    <row r="10" spans="2:23" ht="25.2" customHeight="1" x14ac:dyDescent="0.2">
      <c r="B10" s="88" t="s">
        <v>91</v>
      </c>
      <c r="C10" s="94"/>
      <c r="D10" s="94"/>
      <c r="E10" s="94"/>
      <c r="F10" s="94"/>
      <c r="G10" s="89"/>
      <c r="H10" s="90">
        <f>'給与年金(基礎)'!BQ9</f>
        <v>0</v>
      </c>
      <c r="I10" s="89"/>
      <c r="J10" s="91">
        <f>'給与年金(基礎)'!BR9</f>
        <v>0</v>
      </c>
      <c r="K10" s="92"/>
      <c r="L10" s="93">
        <f t="shared" si="0"/>
        <v>0</v>
      </c>
      <c r="M10" s="174"/>
      <c r="N10" s="170" t="str">
        <f ca="1">IF(税率!I76=0,"","対象")</f>
        <v/>
      </c>
      <c r="O10" s="169"/>
      <c r="P10" s="228" t="s">
        <v>127</v>
      </c>
      <c r="Q10" s="228"/>
      <c r="R10" s="228"/>
      <c r="S10" s="228"/>
      <c r="T10" s="228"/>
      <c r="U10" s="228"/>
      <c r="W10" s="149">
        <f t="shared" si="1"/>
        <v>0</v>
      </c>
    </row>
    <row r="11" spans="2:23" ht="25.2" customHeight="1" x14ac:dyDescent="0.2">
      <c r="B11" s="88" t="s">
        <v>92</v>
      </c>
      <c r="C11" s="94"/>
      <c r="D11" s="94"/>
      <c r="E11" s="94"/>
      <c r="F11" s="94"/>
      <c r="G11" s="89"/>
      <c r="H11" s="90">
        <f>'給与年金(基礎)'!BQ10</f>
        <v>0</v>
      </c>
      <c r="I11" s="89"/>
      <c r="J11" s="91">
        <f>'給与年金(基礎)'!BR10</f>
        <v>0</v>
      </c>
      <c r="K11" s="92"/>
      <c r="L11" s="93">
        <f t="shared" si="0"/>
        <v>0</v>
      </c>
      <c r="M11" s="174"/>
      <c r="N11" s="170" t="str">
        <f ca="1">IF(税率!I77=0,"","対象")</f>
        <v/>
      </c>
      <c r="O11" s="169"/>
      <c r="P11" s="79" t="s">
        <v>128</v>
      </c>
      <c r="W11" s="149">
        <f t="shared" si="1"/>
        <v>0</v>
      </c>
    </row>
    <row r="12" spans="2:23" ht="25.2" customHeight="1" x14ac:dyDescent="0.2">
      <c r="B12" s="88" t="s">
        <v>93</v>
      </c>
      <c r="C12" s="94"/>
      <c r="D12" s="94"/>
      <c r="E12" s="94"/>
      <c r="F12" s="94"/>
      <c r="G12" s="89"/>
      <c r="H12" s="90">
        <f>'給与年金(基礎)'!BQ11</f>
        <v>0</v>
      </c>
      <c r="I12" s="89"/>
      <c r="J12" s="91">
        <f>'給与年金(基礎)'!BR11</f>
        <v>0</v>
      </c>
      <c r="K12" s="92"/>
      <c r="L12" s="93">
        <f t="shared" si="0"/>
        <v>0</v>
      </c>
      <c r="M12" s="174"/>
      <c r="N12" s="170" t="str">
        <f ca="1">IF(税率!I78=0,"","対象")</f>
        <v/>
      </c>
      <c r="O12" s="169"/>
      <c r="P12" s="228" t="s">
        <v>147</v>
      </c>
      <c r="Q12" s="228"/>
      <c r="R12" s="228"/>
      <c r="S12" s="228"/>
      <c r="T12" s="228"/>
      <c r="U12" s="228"/>
      <c r="W12" s="149">
        <f t="shared" si="1"/>
        <v>0</v>
      </c>
    </row>
    <row r="13" spans="2:23" ht="25.2" customHeight="1" x14ac:dyDescent="0.2">
      <c r="B13" s="88" t="s">
        <v>94</v>
      </c>
      <c r="C13" s="94"/>
      <c r="D13" s="94"/>
      <c r="E13" s="94"/>
      <c r="F13" s="94"/>
      <c r="G13" s="89"/>
      <c r="H13" s="90">
        <f>'給与年金(基礎)'!BQ12</f>
        <v>0</v>
      </c>
      <c r="I13" s="89"/>
      <c r="J13" s="91">
        <f>'給与年金(基礎)'!BR12</f>
        <v>0</v>
      </c>
      <c r="K13" s="92"/>
      <c r="L13" s="93">
        <f t="shared" si="0"/>
        <v>0</v>
      </c>
      <c r="M13" s="174"/>
      <c r="N13" s="170" t="str">
        <f ca="1">IF(税率!I79=0,"","対象")</f>
        <v/>
      </c>
      <c r="O13" s="169"/>
      <c r="P13" s="79" t="s">
        <v>148</v>
      </c>
      <c r="W13" s="149">
        <f t="shared" si="1"/>
        <v>0</v>
      </c>
    </row>
    <row r="14" spans="2:23" ht="25.2" customHeight="1" x14ac:dyDescent="0.2">
      <c r="B14" s="88" t="s">
        <v>95</v>
      </c>
      <c r="C14" s="94"/>
      <c r="D14" s="94"/>
      <c r="E14" s="94"/>
      <c r="F14" s="94"/>
      <c r="G14" s="89"/>
      <c r="H14" s="90">
        <f>'給与年金(基礎)'!BQ13</f>
        <v>0</v>
      </c>
      <c r="I14" s="89"/>
      <c r="J14" s="91">
        <f>'給与年金(基礎)'!BR13</f>
        <v>0</v>
      </c>
      <c r="K14" s="92"/>
      <c r="L14" s="93">
        <f t="shared" si="0"/>
        <v>0</v>
      </c>
      <c r="M14" s="174"/>
      <c r="N14" s="170" t="str">
        <f ca="1">IF(税率!I80=0,"","対象")</f>
        <v/>
      </c>
      <c r="O14" s="169"/>
      <c r="P14" s="240" t="s">
        <v>149</v>
      </c>
      <c r="Q14" s="240"/>
      <c r="R14" s="240"/>
      <c r="S14" s="240"/>
      <c r="T14" s="240"/>
      <c r="U14" s="240"/>
      <c r="W14" s="149">
        <f t="shared" si="1"/>
        <v>0</v>
      </c>
    </row>
    <row r="15" spans="2:23" ht="25.2" customHeight="1" thickBot="1" x14ac:dyDescent="0.25">
      <c r="B15" s="95" t="s">
        <v>96</v>
      </c>
      <c r="C15" s="96"/>
      <c r="D15" s="96"/>
      <c r="E15" s="96"/>
      <c r="F15" s="96"/>
      <c r="G15" s="97"/>
      <c r="H15" s="98">
        <f>'給与年金(基礎)'!BQ14</f>
        <v>0</v>
      </c>
      <c r="I15" s="97"/>
      <c r="J15" s="99">
        <f>'給与年金(基礎)'!BR14</f>
        <v>0</v>
      </c>
      <c r="K15" s="100"/>
      <c r="L15" s="117">
        <f t="shared" si="0"/>
        <v>0</v>
      </c>
      <c r="M15" s="175"/>
      <c r="N15" s="176" t="str">
        <f ca="1">IF(税率!I81=0,"","対象")</f>
        <v/>
      </c>
      <c r="O15" s="169"/>
      <c r="P15" s="79" t="s">
        <v>151</v>
      </c>
      <c r="W15" s="147">
        <f t="shared" si="1"/>
        <v>0</v>
      </c>
    </row>
    <row r="16" spans="2:23" ht="26.2" customHeight="1" x14ac:dyDescent="0.6">
      <c r="K16" s="83" t="s">
        <v>101</v>
      </c>
      <c r="M16" s="84"/>
      <c r="N16" s="84"/>
      <c r="O16" s="84"/>
      <c r="P16" s="79" t="s">
        <v>150</v>
      </c>
      <c r="V16" s="84"/>
    </row>
    <row r="17" spans="2:22" ht="25.2" customHeight="1" thickBot="1" x14ac:dyDescent="0.25">
      <c r="B17" s="85" t="s">
        <v>18</v>
      </c>
      <c r="C17" s="86"/>
      <c r="L17" s="131"/>
      <c r="M17" s="127"/>
      <c r="N17" s="127"/>
      <c r="O17" s="127"/>
      <c r="P17" s="240" t="s">
        <v>203</v>
      </c>
      <c r="Q17" s="240"/>
      <c r="R17" s="240"/>
      <c r="S17" s="240"/>
      <c r="T17" s="240"/>
      <c r="U17" s="240"/>
      <c r="V17" s="127"/>
    </row>
    <row r="18" spans="2:22" ht="35.200000000000003" customHeight="1" thickBot="1" x14ac:dyDescent="0.25">
      <c r="B18" s="242">
        <v>4</v>
      </c>
      <c r="C18" s="243"/>
      <c r="D18" s="243"/>
      <c r="E18" s="243"/>
      <c r="F18" s="87" t="s">
        <v>1</v>
      </c>
      <c r="G18" s="157" t="s">
        <v>112</v>
      </c>
      <c r="L18" s="127"/>
      <c r="M18" s="127"/>
      <c r="N18" s="127"/>
      <c r="O18" s="127"/>
      <c r="V18" s="127"/>
    </row>
    <row r="19" spans="2:22" ht="27.15" customHeight="1" x14ac:dyDescent="0.2">
      <c r="B19" s="148"/>
      <c r="C19" s="148"/>
      <c r="D19" s="119"/>
      <c r="E19" s="119"/>
      <c r="F19" s="119"/>
      <c r="G19" s="119"/>
      <c r="L19" s="132"/>
      <c r="M19" s="158"/>
      <c r="N19" s="158"/>
      <c r="O19" s="158"/>
      <c r="P19" s="127"/>
      <c r="Q19" s="127"/>
      <c r="R19" s="127"/>
      <c r="S19" s="127"/>
      <c r="T19" s="127"/>
      <c r="U19" s="127"/>
      <c r="V19" s="158"/>
    </row>
    <row r="20" spans="2:22" ht="27.15" customHeight="1" x14ac:dyDescent="0.2">
      <c r="B20" s="148"/>
      <c r="C20" s="148"/>
      <c r="D20" s="119"/>
      <c r="E20" s="119"/>
      <c r="F20" s="119"/>
      <c r="G20" s="119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</row>
    <row r="21" spans="2:22" ht="19.95" customHeight="1" x14ac:dyDescent="0.2">
      <c r="B21" s="229"/>
      <c r="C21" s="230"/>
      <c r="D21" s="230"/>
      <c r="E21" s="230"/>
      <c r="F21" s="231"/>
      <c r="G21" s="239" t="s">
        <v>26</v>
      </c>
      <c r="H21" s="241" t="s">
        <v>205</v>
      </c>
      <c r="I21" s="241" t="s">
        <v>206</v>
      </c>
      <c r="J21" s="244" t="s">
        <v>234</v>
      </c>
      <c r="L21" s="158"/>
      <c r="M21" s="157"/>
      <c r="N21" s="157"/>
      <c r="O21" s="157"/>
      <c r="P21" s="158"/>
      <c r="Q21" s="158"/>
      <c r="R21" s="158"/>
      <c r="S21" s="158"/>
      <c r="T21" s="158"/>
      <c r="U21" s="158"/>
      <c r="V21" s="157"/>
    </row>
    <row r="22" spans="2:22" ht="19.95" customHeight="1" x14ac:dyDescent="0.2">
      <c r="B22" s="232"/>
      <c r="C22" s="233"/>
      <c r="D22" s="233"/>
      <c r="E22" s="233"/>
      <c r="F22" s="234"/>
      <c r="G22" s="239"/>
      <c r="H22" s="239"/>
      <c r="I22" s="239"/>
      <c r="J22" s="245"/>
      <c r="L22" s="158"/>
      <c r="M22" s="157"/>
      <c r="N22" s="157"/>
      <c r="O22" s="157"/>
      <c r="P22" s="157"/>
      <c r="Q22" s="157"/>
      <c r="R22" s="157"/>
      <c r="S22" s="157"/>
      <c r="T22" s="157"/>
      <c r="U22" s="157"/>
      <c r="V22" s="157"/>
    </row>
    <row r="23" spans="2:22" ht="19.95" customHeight="1" x14ac:dyDescent="0.2">
      <c r="B23" s="229" t="s">
        <v>70</v>
      </c>
      <c r="C23" s="230"/>
      <c r="D23" s="230"/>
      <c r="E23" s="230"/>
      <c r="F23" s="231"/>
      <c r="G23" s="221">
        <f ca="1">ROUNDDOWN(税率!M13*($C$34/12),0)</f>
        <v>0</v>
      </c>
      <c r="H23" s="221">
        <f ca="1">ROUNDDOWN(税率!N13*($C$34/12),0)</f>
        <v>0</v>
      </c>
      <c r="I23" s="221">
        <f ca="1">税率!M27</f>
        <v>0</v>
      </c>
      <c r="J23" s="221">
        <f ca="1">税率!O13*($C$34/12)</f>
        <v>0</v>
      </c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</row>
    <row r="24" spans="2:22" ht="19.95" customHeight="1" x14ac:dyDescent="0.2">
      <c r="B24" s="235"/>
      <c r="C24" s="236"/>
      <c r="D24" s="236"/>
      <c r="E24" s="236"/>
      <c r="F24" s="237"/>
      <c r="G24" s="222"/>
      <c r="H24" s="222"/>
      <c r="I24" s="222"/>
      <c r="J24" s="222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</row>
    <row r="25" spans="2:22" ht="19.95" customHeight="1" x14ac:dyDescent="0.2">
      <c r="B25" s="256" t="s">
        <v>207</v>
      </c>
      <c r="C25" s="257"/>
      <c r="D25" s="257"/>
      <c r="E25" s="257"/>
      <c r="F25" s="258"/>
      <c r="G25" s="222">
        <f ca="1">(税率!M14-税率!M17-税率!M19)*($C$34/12)</f>
        <v>0</v>
      </c>
      <c r="H25" s="222">
        <f ca="1">(税率!N14-税率!N17-税率!N19)*($C$34/12)</f>
        <v>0</v>
      </c>
      <c r="I25" s="222">
        <f ca="1">税率!M28-税率!M31</f>
        <v>0</v>
      </c>
      <c r="J25" s="222">
        <f ca="1">(税率!O14-税率!O17-税率!O19)*($C$34/12)</f>
        <v>0</v>
      </c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 ht="19.95" customHeight="1" x14ac:dyDescent="0.2">
      <c r="B26" s="235"/>
      <c r="C26" s="236"/>
      <c r="D26" s="236"/>
      <c r="E26" s="236"/>
      <c r="F26" s="237"/>
      <c r="G26" s="222"/>
      <c r="H26" s="222"/>
      <c r="I26" s="222"/>
      <c r="J26" s="222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</row>
    <row r="27" spans="2:22" ht="19.95" customHeight="1" x14ac:dyDescent="0.2">
      <c r="B27" s="259" t="s">
        <v>208</v>
      </c>
      <c r="C27" s="257"/>
      <c r="D27" s="257"/>
      <c r="E27" s="257"/>
      <c r="F27" s="258"/>
      <c r="G27" s="222">
        <f ca="1">(税率!M15-税率!M18)*($C$34/12)</f>
        <v>0</v>
      </c>
      <c r="H27" s="222">
        <f ca="1">(税率!N15-税率!N18)*($C$34/12)</f>
        <v>0</v>
      </c>
      <c r="I27" s="222">
        <f ca="1">税率!M29-税率!M32</f>
        <v>0</v>
      </c>
      <c r="J27" s="222">
        <f ca="1">(税率!O15-税率!O18)*($C$34/12)</f>
        <v>0</v>
      </c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</row>
    <row r="28" spans="2:22" ht="19.95" customHeight="1" x14ac:dyDescent="0.2">
      <c r="B28" s="232"/>
      <c r="C28" s="233"/>
      <c r="D28" s="233"/>
      <c r="E28" s="233"/>
      <c r="F28" s="234"/>
      <c r="G28" s="223"/>
      <c r="H28" s="223"/>
      <c r="I28" s="223"/>
      <c r="J28" s="223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</row>
    <row r="29" spans="2:22" ht="19.95" customHeight="1" x14ac:dyDescent="0.2">
      <c r="B29" s="229" t="s">
        <v>209</v>
      </c>
      <c r="C29" s="230"/>
      <c r="D29" s="230"/>
      <c r="E29" s="230"/>
      <c r="F29" s="231"/>
      <c r="G29" s="221" t="str">
        <f ca="1">IF(税率!M20&lt;=税率!M21,"-",(税率!M20-税率!M21)*($C$34/12))</f>
        <v>-</v>
      </c>
      <c r="H29" s="221" t="str">
        <f ca="1">IF(税率!N20&lt;=税率!N21,"-",(税率!N20-税率!N21)*($C$34/12))</f>
        <v>-</v>
      </c>
      <c r="I29" s="221" t="str">
        <f ca="1">IF(税率!M37=0,"-",税率!M37)</f>
        <v>-</v>
      </c>
      <c r="J29" s="221" t="str">
        <f ca="1">IF(税率!O20&lt;=税率!O21,"-",(税率!O20-税率!O21)*($C$34/12))</f>
        <v>-</v>
      </c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</row>
    <row r="30" spans="2:22" ht="19.95" customHeight="1" thickBot="1" x14ac:dyDescent="0.25">
      <c r="B30" s="263"/>
      <c r="C30" s="264"/>
      <c r="D30" s="264"/>
      <c r="E30" s="264"/>
      <c r="F30" s="265"/>
      <c r="G30" s="224"/>
      <c r="H30" s="224"/>
      <c r="I30" s="224"/>
      <c r="J30" s="224"/>
      <c r="L30" s="157"/>
      <c r="M30" s="127"/>
      <c r="N30" s="127"/>
      <c r="O30" s="127"/>
      <c r="P30" s="157"/>
      <c r="Q30" s="157"/>
      <c r="R30" s="157"/>
      <c r="S30" s="157"/>
      <c r="T30" s="157"/>
      <c r="U30" s="157"/>
      <c r="V30" s="127"/>
    </row>
    <row r="31" spans="2:22" ht="19.95" customHeight="1" thickTop="1" x14ac:dyDescent="0.2">
      <c r="B31" s="266" t="s">
        <v>20</v>
      </c>
      <c r="C31" s="267"/>
      <c r="D31" s="267"/>
      <c r="E31" s="267"/>
      <c r="F31" s="268"/>
      <c r="G31" s="225">
        <f ca="1">ROUNDDOWN(SUM(G23,G25,G27)-IF(G29="-",0,G29),-2)</f>
        <v>0</v>
      </c>
      <c r="H31" s="225">
        <f ca="1">ROUNDDOWN(SUM(H23,H25,H27)-IF(H29="-",0,H29),-2)</f>
        <v>0</v>
      </c>
      <c r="I31" s="225">
        <f ca="1">ROUNDDOWN(SUM(I23,I25,I27)-IF(I29="-",0,I29),-2)</f>
        <v>0</v>
      </c>
      <c r="J31" s="225">
        <f ca="1">ROUNDDOWN(SUM(J23,J25,J27)-IF(J29="-",0,J29),-2)</f>
        <v>0</v>
      </c>
      <c r="L31" s="121"/>
      <c r="M31" s="121"/>
      <c r="N31" s="121"/>
      <c r="O31" s="121"/>
      <c r="P31" s="127"/>
      <c r="Q31" s="127"/>
      <c r="R31" s="127"/>
      <c r="S31" s="127"/>
      <c r="T31" s="127"/>
      <c r="U31" s="127"/>
      <c r="V31" s="121"/>
    </row>
    <row r="32" spans="2:22" ht="19.95" customHeight="1" x14ac:dyDescent="0.2">
      <c r="B32" s="232"/>
      <c r="C32" s="233"/>
      <c r="D32" s="233"/>
      <c r="E32" s="233"/>
      <c r="F32" s="234"/>
      <c r="G32" s="226"/>
      <c r="H32" s="226"/>
      <c r="I32" s="226"/>
      <c r="J32" s="226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2:22" ht="25.2" customHeight="1" thickBot="1" x14ac:dyDescent="0.25">
      <c r="B33" s="80" t="s">
        <v>98</v>
      </c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</row>
    <row r="34" spans="2:22" ht="50.15" customHeight="1" thickBot="1" x14ac:dyDescent="0.25">
      <c r="B34" s="155" t="str">
        <f ca="1">税率!C23&amp;"名加入"</f>
        <v>0名加入</v>
      </c>
      <c r="C34" s="262">
        <f>税率!$K$23</f>
        <v>12</v>
      </c>
      <c r="D34" s="262"/>
      <c r="E34" s="261" t="s">
        <v>146</v>
      </c>
      <c r="F34" s="261"/>
      <c r="G34" s="260" t="str">
        <f>VLOOKUP(税率!H65,税率!G66:H68,2,FALSE)</f>
        <v/>
      </c>
      <c r="H34" s="260"/>
      <c r="I34" s="87" t="s">
        <v>0</v>
      </c>
      <c r="J34" s="128"/>
      <c r="K34" s="127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</row>
    <row r="35" spans="2:22" ht="25.2" customHeight="1" x14ac:dyDescent="0.2">
      <c r="G35" s="79" t="str">
        <f ca="1">VLOOKUP(税率!H58,税率!G59:H62,2,FALSE)</f>
        <v/>
      </c>
      <c r="H35" s="118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</row>
    <row r="36" spans="2:22" s="84" customFormat="1" ht="25.2" customHeight="1" x14ac:dyDescent="0.2">
      <c r="P36" s="121"/>
      <c r="Q36" s="121"/>
      <c r="R36" s="121"/>
      <c r="S36" s="121"/>
      <c r="T36" s="121"/>
      <c r="U36" s="121"/>
    </row>
    <row r="37" spans="2:22" ht="25.2" customHeight="1" x14ac:dyDescent="0.2">
      <c r="P37" s="84"/>
    </row>
  </sheetData>
  <sheetProtection algorithmName="SHA-512" hashValue="hvlS6radnzZ/KGjzhmSNHdG1+dxj1iXb/bZiGEDYg4bslId0xNpdA7bqd2vczjsdlB6WWmOLC0FZsGUyoT2rPw==" saltValue="CWSodyHHp9rA9a8kZ2PZsg==" spinCount="100000" sheet="1" selectLockedCells="1"/>
  <mergeCells count="47">
    <mergeCell ref="G34:H34"/>
    <mergeCell ref="E34:F34"/>
    <mergeCell ref="C34:D34"/>
    <mergeCell ref="H29:H30"/>
    <mergeCell ref="I29:I30"/>
    <mergeCell ref="G31:G32"/>
    <mergeCell ref="G29:G30"/>
    <mergeCell ref="B29:F30"/>
    <mergeCell ref="B31:F32"/>
    <mergeCell ref="H31:H32"/>
    <mergeCell ref="I31:I32"/>
    <mergeCell ref="I25:I26"/>
    <mergeCell ref="H25:H26"/>
    <mergeCell ref="B25:F26"/>
    <mergeCell ref="B27:F28"/>
    <mergeCell ref="G25:G26"/>
    <mergeCell ref="G27:G28"/>
    <mergeCell ref="I27:I28"/>
    <mergeCell ref="H27:H28"/>
    <mergeCell ref="W4:W5"/>
    <mergeCell ref="B4:B5"/>
    <mergeCell ref="G4:L4"/>
    <mergeCell ref="M4:M5"/>
    <mergeCell ref="P10:U10"/>
    <mergeCell ref="N4:N5"/>
    <mergeCell ref="C4:F4"/>
    <mergeCell ref="P1:U2"/>
    <mergeCell ref="P9:U9"/>
    <mergeCell ref="P12:U12"/>
    <mergeCell ref="B21:F22"/>
    <mergeCell ref="B23:F24"/>
    <mergeCell ref="P3:U3"/>
    <mergeCell ref="G21:G22"/>
    <mergeCell ref="G23:G24"/>
    <mergeCell ref="P14:U14"/>
    <mergeCell ref="I23:I24"/>
    <mergeCell ref="H23:H24"/>
    <mergeCell ref="I21:I22"/>
    <mergeCell ref="H21:H22"/>
    <mergeCell ref="P17:U17"/>
    <mergeCell ref="B18:E18"/>
    <mergeCell ref="J21:J22"/>
    <mergeCell ref="J23:J24"/>
    <mergeCell ref="J25:J26"/>
    <mergeCell ref="J27:J28"/>
    <mergeCell ref="J29:J30"/>
    <mergeCell ref="J31:J32"/>
  </mergeCells>
  <phoneticPr fontId="1"/>
  <dataValidations count="3">
    <dataValidation type="list" allowBlank="1" showInputMessage="1" showErrorMessage="1" sqref="M6" xr:uid="{00000000-0002-0000-0000-000000000000}">
      <formula1>"加入する,加入しない"</formula1>
    </dataValidation>
    <dataValidation type="list" allowBlank="1" showInputMessage="1" showErrorMessage="1" sqref="C6:C15" xr:uid="{00000000-0002-0000-0000-000001000000}">
      <formula1>"大正,昭和,平成,令和"</formula1>
    </dataValidation>
    <dataValidation type="list" allowBlank="1" showInputMessage="1" showErrorMessage="1" sqref="B18" xr:uid="{00000000-0002-0000-0000-000002000000}">
      <formula1>"4,5,6,7,8,9,10,11,12,1,2,3"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83"/>
  <sheetViews>
    <sheetView workbookViewId="0">
      <selection activeCell="B1" sqref="B1"/>
    </sheetView>
  </sheetViews>
  <sheetFormatPr defaultRowHeight="13.3" x14ac:dyDescent="0.2"/>
  <cols>
    <col min="1" max="1" width="9.5" bestFit="1" customWidth="1"/>
    <col min="2" max="2" width="11.19921875" customWidth="1"/>
    <col min="3" max="5" width="9.5" customWidth="1"/>
    <col min="6" max="6" width="9.8984375" customWidth="1"/>
    <col min="7" max="7" width="10.59765625" customWidth="1"/>
    <col min="8" max="8" width="11.3984375" customWidth="1"/>
    <col min="9" max="11" width="10.19921875" customWidth="1"/>
    <col min="13" max="13" width="11.3984375" customWidth="1"/>
    <col min="14" max="14" width="9.3984375" bestFit="1" customWidth="1"/>
    <col min="15" max="15" width="9.19921875" customWidth="1"/>
    <col min="16" max="16" width="5.3984375" bestFit="1" customWidth="1"/>
  </cols>
  <sheetData>
    <row r="1" spans="1:15" ht="28.55" customHeight="1" thickBot="1" x14ac:dyDescent="0.25">
      <c r="A1" s="49" t="s">
        <v>2</v>
      </c>
      <c r="B1" s="77">
        <v>2026</v>
      </c>
      <c r="C1" s="51" t="s">
        <v>73</v>
      </c>
    </row>
    <row r="2" spans="1:15" x14ac:dyDescent="0.2">
      <c r="A2" s="7"/>
      <c r="B2" s="76" t="s">
        <v>3</v>
      </c>
      <c r="C2" s="7" t="s">
        <v>4</v>
      </c>
      <c r="D2" s="7" t="s">
        <v>5</v>
      </c>
      <c r="E2" s="7" t="s">
        <v>232</v>
      </c>
      <c r="F2" s="280" t="s">
        <v>55</v>
      </c>
      <c r="G2" s="276"/>
      <c r="H2" s="9">
        <v>430000</v>
      </c>
      <c r="J2" s="281" t="s">
        <v>154</v>
      </c>
      <c r="K2" s="281"/>
    </row>
    <row r="3" spans="1:15" x14ac:dyDescent="0.2">
      <c r="A3" s="1" t="s">
        <v>6</v>
      </c>
      <c r="B3" s="4">
        <v>7.17E-2</v>
      </c>
      <c r="C3" s="4">
        <v>2.5899999999999999E-2</v>
      </c>
      <c r="D3" s="4">
        <v>2.35E-2</v>
      </c>
      <c r="E3" s="4">
        <v>2.5999999999999999E-3</v>
      </c>
      <c r="F3" s="276" t="s">
        <v>84</v>
      </c>
      <c r="G3" s="276"/>
      <c r="H3" s="179">
        <f>DATE(B1,1,1)</f>
        <v>46023</v>
      </c>
      <c r="J3" s="180" t="s">
        <v>152</v>
      </c>
      <c r="K3" s="1">
        <v>310000</v>
      </c>
    </row>
    <row r="4" spans="1:15" x14ac:dyDescent="0.2">
      <c r="A4" s="1" t="s">
        <v>7</v>
      </c>
      <c r="B4" s="1">
        <v>27300</v>
      </c>
      <c r="C4" s="1">
        <v>10000</v>
      </c>
      <c r="D4" s="1">
        <v>10500</v>
      </c>
      <c r="E4" s="1">
        <v>1000</v>
      </c>
      <c r="F4" s="276" t="s">
        <v>87</v>
      </c>
      <c r="G4" s="276"/>
      <c r="H4" s="179">
        <f>DATE(B1-65,1,1)</f>
        <v>22282</v>
      </c>
      <c r="J4" s="180" t="s">
        <v>153</v>
      </c>
      <c r="K4" s="1">
        <v>570000</v>
      </c>
    </row>
    <row r="5" spans="1:15" x14ac:dyDescent="0.2">
      <c r="A5" s="1" t="s">
        <v>8</v>
      </c>
      <c r="B5" s="1">
        <v>23700</v>
      </c>
      <c r="C5" s="1">
        <v>8700</v>
      </c>
      <c r="D5" s="1">
        <v>6800</v>
      </c>
      <c r="E5" s="1">
        <v>1000</v>
      </c>
      <c r="F5" s="276" t="s">
        <v>248</v>
      </c>
      <c r="G5" s="276"/>
      <c r="H5" s="179">
        <f>DATE(B1-6,4,2)</f>
        <v>43923</v>
      </c>
      <c r="I5" t="s">
        <v>247</v>
      </c>
    </row>
    <row r="6" spans="1:15" x14ac:dyDescent="0.2">
      <c r="A6" s="5" t="s">
        <v>19</v>
      </c>
      <c r="B6" s="1">
        <v>670000</v>
      </c>
      <c r="C6" s="1">
        <v>260000</v>
      </c>
      <c r="D6" s="1">
        <v>170000</v>
      </c>
      <c r="E6" s="1">
        <v>30000</v>
      </c>
      <c r="F6" s="276" t="s">
        <v>246</v>
      </c>
      <c r="G6" s="276"/>
      <c r="H6" s="179">
        <f>DATE(B1-18,4,1)</f>
        <v>39539</v>
      </c>
    </row>
    <row r="7" spans="1:15" x14ac:dyDescent="0.2">
      <c r="E7" s="5">
        <v>55</v>
      </c>
    </row>
    <row r="8" spans="1:15" ht="13.3" customHeight="1" x14ac:dyDescent="0.2"/>
    <row r="9" spans="1:15" ht="13.3" customHeight="1" x14ac:dyDescent="0.2"/>
    <row r="10" spans="1:15" ht="13.3" customHeight="1" x14ac:dyDescent="0.2"/>
    <row r="11" spans="1:15" x14ac:dyDescent="0.2">
      <c r="B11" s="58"/>
      <c r="C11" s="216" t="s">
        <v>237</v>
      </c>
      <c r="D11" s="216" t="s">
        <v>236</v>
      </c>
      <c r="E11" s="217" t="s">
        <v>238</v>
      </c>
      <c r="F11" s="219" t="s">
        <v>240</v>
      </c>
      <c r="H11" s="49" t="s">
        <v>242</v>
      </c>
    </row>
    <row r="12" spans="1:15" ht="13.3" customHeight="1" x14ac:dyDescent="0.2">
      <c r="B12" s="58" t="s">
        <v>122</v>
      </c>
      <c r="C12" s="58" t="s">
        <v>79</v>
      </c>
      <c r="D12" s="58" t="s">
        <v>235</v>
      </c>
      <c r="E12" s="58" t="s">
        <v>106</v>
      </c>
      <c r="F12" s="58" t="s">
        <v>241</v>
      </c>
      <c r="H12" s="49" t="s">
        <v>243</v>
      </c>
      <c r="K12" s="1"/>
      <c r="L12" s="1"/>
      <c r="M12" s="212" t="s">
        <v>26</v>
      </c>
      <c r="N12" s="213" t="s">
        <v>27</v>
      </c>
      <c r="O12" s="212" t="s">
        <v>233</v>
      </c>
    </row>
    <row r="13" spans="1:15" ht="13.3" customHeight="1" x14ac:dyDescent="0.2">
      <c r="A13" s="46" t="s">
        <v>45</v>
      </c>
      <c r="B13" s="1">
        <f ca="1">I72</f>
        <v>0</v>
      </c>
      <c r="C13" s="1">
        <f ca="1">IF(AND(B13=1,概算シート!M6="加入する"),1,0)</f>
        <v>0</v>
      </c>
      <c r="D13" s="1">
        <f ca="1">IF(AND(B13=1,概算シート!W6&lt;=税率!$H$6),C13,0)</f>
        <v>0</v>
      </c>
      <c r="E13" s="1">
        <f ca="1">IF(AND(C13=1,概算シート!L6-$H$2&gt;0),概算シート!L6-$H$2,0)</f>
        <v>0</v>
      </c>
      <c r="F13" s="1">
        <f ca="1">IF(AND(B13=1,概算シート!W6&gt;=税率!$H$5),C13,0)</f>
        <v>0</v>
      </c>
      <c r="H13" s="58" t="s">
        <v>116</v>
      </c>
      <c r="I13" s="1">
        <f ca="1">F23*B4</f>
        <v>0</v>
      </c>
      <c r="K13" s="277" t="s">
        <v>25</v>
      </c>
      <c r="L13" s="1" t="s">
        <v>6</v>
      </c>
      <c r="M13" s="9">
        <f ca="1">E23*B3</f>
        <v>0</v>
      </c>
      <c r="N13" s="9">
        <f ca="1">E23*C3</f>
        <v>0</v>
      </c>
      <c r="O13" s="9">
        <f ca="1">E23*E3</f>
        <v>0</v>
      </c>
    </row>
    <row r="14" spans="1:15" x14ac:dyDescent="0.2">
      <c r="A14" s="46" t="s">
        <v>9</v>
      </c>
      <c r="B14" s="1">
        <f t="shared" ref="B14:B22" ca="1" si="0">I73</f>
        <v>0</v>
      </c>
      <c r="C14" s="1">
        <f ca="1">IF(B14=1,1,0)</f>
        <v>0</v>
      </c>
      <c r="D14" s="1">
        <f ca="1">IF(AND(B14=1,概算シート!W7&lt;=税率!$H$6),C14,0)</f>
        <v>0</v>
      </c>
      <c r="E14" s="1">
        <f ca="1">IF(AND(C14=1,概算シート!L7-$H$2&gt;0),概算シート!L7-$H$2,0)</f>
        <v>0</v>
      </c>
      <c r="F14" s="1">
        <f ca="1">IF(AND(B14=1,概算シート!W7&gt;=税率!$H$5),C14,0)</f>
        <v>0</v>
      </c>
      <c r="H14" s="58" t="s">
        <v>113</v>
      </c>
      <c r="I14" s="1">
        <f ca="1">D63</f>
        <v>0</v>
      </c>
      <c r="K14" s="278"/>
      <c r="L14" s="1" t="s">
        <v>7</v>
      </c>
      <c r="M14" s="9">
        <f ca="1">B4*C23</f>
        <v>0</v>
      </c>
      <c r="N14" s="9">
        <f ca="1">C4*C23</f>
        <v>0</v>
      </c>
      <c r="O14" s="9">
        <f ca="1">(E4+E7)*D23</f>
        <v>0</v>
      </c>
    </row>
    <row r="15" spans="1:15" x14ac:dyDescent="0.2">
      <c r="A15" s="46" t="s">
        <v>10</v>
      </c>
      <c r="B15" s="1">
        <f t="shared" ca="1" si="0"/>
        <v>0</v>
      </c>
      <c r="C15" s="1">
        <f t="shared" ref="C15:C22" ca="1" si="1">IF(B15=1,1,0)</f>
        <v>0</v>
      </c>
      <c r="D15" s="1">
        <f ca="1">IF(AND(B15=1,概算シート!W8&lt;=税率!$H$6),C15,0)</f>
        <v>0</v>
      </c>
      <c r="E15" s="1">
        <f ca="1">IF(AND(C15=1,概算シート!L8-$H$2&gt;0),概算シート!L8-$H$2,0)</f>
        <v>0</v>
      </c>
      <c r="F15" s="1">
        <f ca="1">IF(AND(B15=1,概算シート!W8&gt;=税率!$H$5),C15,0)</f>
        <v>0</v>
      </c>
      <c r="H15" s="58" t="s">
        <v>114</v>
      </c>
      <c r="I15" s="1">
        <f ca="1">I13*(1-I14)</f>
        <v>0</v>
      </c>
      <c r="K15" s="278"/>
      <c r="L15" s="1" t="s">
        <v>8</v>
      </c>
      <c r="M15" s="9">
        <f ca="1">IF(M14=0,0,B5)</f>
        <v>0</v>
      </c>
      <c r="N15" s="9">
        <f ca="1">IF(N14=0,0,C5)</f>
        <v>0</v>
      </c>
      <c r="O15" s="9">
        <f ca="1">IF(SUM(O13:O14)=0,0,E5)</f>
        <v>0</v>
      </c>
    </row>
    <row r="16" spans="1:15" x14ac:dyDescent="0.2">
      <c r="A16" s="46" t="s">
        <v>11</v>
      </c>
      <c r="B16" s="1">
        <f t="shared" ca="1" si="0"/>
        <v>0</v>
      </c>
      <c r="C16" s="1">
        <f t="shared" ca="1" si="1"/>
        <v>0</v>
      </c>
      <c r="D16" s="1">
        <f ca="1">IF(AND(B16=1,概算シート!W9&lt;=税率!$H$6),C16,0)</f>
        <v>0</v>
      </c>
      <c r="E16" s="1">
        <f ca="1">IF(AND(C16=1,概算シート!L9-$H$2&gt;0),概算シート!L9-$H$2,0)</f>
        <v>0</v>
      </c>
      <c r="F16" s="1">
        <f ca="1">IF(AND(B16=1,概算シート!W9&gt;=税率!$H$5),C16,0)</f>
        <v>0</v>
      </c>
      <c r="H16" s="58" t="s">
        <v>115</v>
      </c>
      <c r="I16" s="1">
        <f ca="1">I15/2</f>
        <v>0</v>
      </c>
      <c r="K16" s="278"/>
      <c r="L16" s="6" t="s">
        <v>20</v>
      </c>
      <c r="M16" s="10">
        <f ca="1">SUM(M13:M15)</f>
        <v>0</v>
      </c>
      <c r="N16" s="10">
        <f ca="1">SUM(N13:N15)</f>
        <v>0</v>
      </c>
      <c r="O16" s="10">
        <f ca="1">SUM(O13:O15)</f>
        <v>0</v>
      </c>
    </row>
    <row r="17" spans="1:15" x14ac:dyDescent="0.2">
      <c r="A17" s="46" t="s">
        <v>12</v>
      </c>
      <c r="B17" s="1">
        <f t="shared" ca="1" si="0"/>
        <v>0</v>
      </c>
      <c r="C17" s="1">
        <f t="shared" ca="1" si="1"/>
        <v>0</v>
      </c>
      <c r="D17" s="1">
        <f ca="1">IF(AND(B17=1,概算シート!W10&lt;=税率!$H$6),C17,0)</f>
        <v>0</v>
      </c>
      <c r="E17" s="1">
        <f ca="1">IF(AND(C17=1,概算シート!L10-$H$2&gt;0),概算シート!L10-$H$2,0)</f>
        <v>0</v>
      </c>
      <c r="F17" s="1">
        <f ca="1">IF(AND(B17=1,概算シート!W10&gt;=税率!$H$5),C17,0)</f>
        <v>0</v>
      </c>
      <c r="K17" s="278"/>
      <c r="L17" s="5" t="s">
        <v>21</v>
      </c>
      <c r="M17" s="9">
        <f t="shared" ref="M17:O18" ca="1" si="2">IF($D$63&gt;0,M14*($D$63),0)</f>
        <v>0</v>
      </c>
      <c r="N17" s="9">
        <f t="shared" ca="1" si="2"/>
        <v>0</v>
      </c>
      <c r="O17" s="9">
        <f t="shared" ca="1" si="2"/>
        <v>0</v>
      </c>
    </row>
    <row r="18" spans="1:15" x14ac:dyDescent="0.2">
      <c r="A18" s="46" t="s">
        <v>13</v>
      </c>
      <c r="B18" s="1">
        <f t="shared" ca="1" si="0"/>
        <v>0</v>
      </c>
      <c r="C18" s="1">
        <f t="shared" ca="1" si="1"/>
        <v>0</v>
      </c>
      <c r="D18" s="1">
        <f ca="1">IF(AND(B18=1,概算シート!W11&lt;=税率!$H$6),C18,0)</f>
        <v>0</v>
      </c>
      <c r="E18" s="1">
        <f ca="1">IF(AND(C18=1,概算シート!L11-$H$2&gt;0),概算シート!L11-$H$2,0)</f>
        <v>0</v>
      </c>
      <c r="F18" s="1">
        <f ca="1">IF(AND(B18=1,概算シート!W11&gt;=税率!$H$5),C18,0)</f>
        <v>0</v>
      </c>
      <c r="H18" s="130" t="s">
        <v>244</v>
      </c>
      <c r="K18" s="278"/>
      <c r="L18" s="5" t="s">
        <v>22</v>
      </c>
      <c r="M18" s="9">
        <f t="shared" ca="1" si="2"/>
        <v>0</v>
      </c>
      <c r="N18" s="9">
        <f t="shared" ca="1" si="2"/>
        <v>0</v>
      </c>
      <c r="O18" s="9">
        <f t="shared" ca="1" si="2"/>
        <v>0</v>
      </c>
    </row>
    <row r="19" spans="1:15" x14ac:dyDescent="0.2">
      <c r="A19" s="46" t="s">
        <v>14</v>
      </c>
      <c r="B19" s="1">
        <f t="shared" ca="1" si="0"/>
        <v>0</v>
      </c>
      <c r="C19" s="1">
        <f t="shared" ca="1" si="1"/>
        <v>0</v>
      </c>
      <c r="D19" s="1">
        <f ca="1">IF(AND(B19=1,概算シート!W12&lt;=税率!$H$6),C19,0)</f>
        <v>0</v>
      </c>
      <c r="E19" s="1">
        <f ca="1">IF(AND(C19=1,概算シート!L12-$H$2&gt;0),概算シート!L12-$H$2,0)</f>
        <v>0</v>
      </c>
      <c r="F19" s="1">
        <f ca="1">IF(AND(B19=1,概算シート!W12&gt;=税率!$H$5),C19,0)</f>
        <v>0</v>
      </c>
      <c r="H19" s="58" t="s">
        <v>116</v>
      </c>
      <c r="I19" s="1">
        <f ca="1">F23*C4</f>
        <v>0</v>
      </c>
      <c r="K19" s="278"/>
      <c r="L19" s="5" t="s">
        <v>117</v>
      </c>
      <c r="M19" s="1">
        <f ca="1">I16</f>
        <v>0</v>
      </c>
      <c r="N19" s="1">
        <f ca="1">I22</f>
        <v>0</v>
      </c>
      <c r="O19" s="1">
        <v>0</v>
      </c>
    </row>
    <row r="20" spans="1:15" x14ac:dyDescent="0.2">
      <c r="A20" s="46" t="s">
        <v>15</v>
      </c>
      <c r="B20" s="1">
        <f t="shared" ca="1" si="0"/>
        <v>0</v>
      </c>
      <c r="C20" s="1">
        <f t="shared" ca="1" si="1"/>
        <v>0</v>
      </c>
      <c r="D20" s="1">
        <f ca="1">IF(AND(B20=1,概算シート!W13&lt;=税率!$H$6),C20,0)</f>
        <v>0</v>
      </c>
      <c r="E20" s="1">
        <f ca="1">IF(AND(C20=1,概算シート!L13-$H$2&gt;0),概算シート!L13-$H$2,0)</f>
        <v>0</v>
      </c>
      <c r="F20" s="1">
        <f ca="1">IF(AND(B20=1,概算シート!W13&gt;=税率!$H$5),C20,0)</f>
        <v>0</v>
      </c>
      <c r="H20" s="58" t="s">
        <v>113</v>
      </c>
      <c r="I20" s="1">
        <f ca="1">I14</f>
        <v>0</v>
      </c>
      <c r="K20" s="278"/>
      <c r="L20" s="6" t="s">
        <v>24</v>
      </c>
      <c r="M20" s="10">
        <f ca="1">M16-SUM(M17,M18,M19)</f>
        <v>0</v>
      </c>
      <c r="N20" s="10">
        <f t="shared" ref="N20:O20" ca="1" si="3">N16-SUM(N17,N18,N19)</f>
        <v>0</v>
      </c>
      <c r="O20" s="10">
        <f t="shared" ca="1" si="3"/>
        <v>0</v>
      </c>
    </row>
    <row r="21" spans="1:15" x14ac:dyDescent="0.2">
      <c r="A21" s="46" t="s">
        <v>16</v>
      </c>
      <c r="B21" s="1">
        <f t="shared" ca="1" si="0"/>
        <v>0</v>
      </c>
      <c r="C21" s="1">
        <f t="shared" ca="1" si="1"/>
        <v>0</v>
      </c>
      <c r="D21" s="1">
        <f ca="1">IF(AND(B21=1,概算シート!W14&lt;=税率!$H$6),C21,0)</f>
        <v>0</v>
      </c>
      <c r="E21" s="1">
        <f ca="1">IF(AND(C21=1,概算シート!L14-$H$2&gt;0),概算シート!L14-$H$2,0)</f>
        <v>0</v>
      </c>
      <c r="F21" s="1">
        <f ca="1">IF(AND(B21=1,概算シート!W14&gt;=税率!$H$5),C21,0)</f>
        <v>0</v>
      </c>
      <c r="H21" s="58" t="s">
        <v>114</v>
      </c>
      <c r="I21" s="1">
        <f ca="1">I19*(1-I20)</f>
        <v>0</v>
      </c>
      <c r="K21" s="278"/>
      <c r="L21" s="1" t="s">
        <v>19</v>
      </c>
      <c r="M21" s="9">
        <f>B6</f>
        <v>670000</v>
      </c>
      <c r="N21" s="9">
        <f>C6</f>
        <v>260000</v>
      </c>
      <c r="O21" s="9">
        <f>E6</f>
        <v>30000</v>
      </c>
    </row>
    <row r="22" spans="1:15" x14ac:dyDescent="0.2">
      <c r="A22" s="46" t="s">
        <v>17</v>
      </c>
      <c r="B22" s="1">
        <f t="shared" ca="1" si="0"/>
        <v>0</v>
      </c>
      <c r="C22" s="1">
        <f t="shared" ca="1" si="1"/>
        <v>0</v>
      </c>
      <c r="D22" s="1">
        <f ca="1">IF(AND(B22=1,概算シート!W15&lt;=税率!$H$6),C22,0)</f>
        <v>0</v>
      </c>
      <c r="E22" s="1">
        <f ca="1">IF(AND(C22=1,概算シート!L15-$H$2&gt;0),概算シート!L15-$H$2,0)</f>
        <v>0</v>
      </c>
      <c r="F22" s="1">
        <f ca="1">IF(AND(B22=1,概算シート!W15&gt;=税率!$H$5),C22,0)</f>
        <v>0</v>
      </c>
      <c r="H22" s="58" t="s">
        <v>115</v>
      </c>
      <c r="I22" s="1">
        <f ca="1">I21/2</f>
        <v>0</v>
      </c>
      <c r="K22" s="279"/>
      <c r="L22" s="6" t="s">
        <v>23</v>
      </c>
      <c r="M22" s="10">
        <f ca="1">ROUNDDOWN(IF(M20&gt;M21,M21,M20),-2)</f>
        <v>0</v>
      </c>
      <c r="N22" s="10">
        <f ca="1">ROUNDDOWN(IF(N20&gt;N21,N21,N20),-2)</f>
        <v>0</v>
      </c>
      <c r="O22" s="10">
        <f ca="1">ROUNDDOWN(IF(O20&gt;O21,O21,O20),-2)</f>
        <v>0</v>
      </c>
    </row>
    <row r="23" spans="1:15" x14ac:dyDescent="0.2">
      <c r="A23" s="46" t="s">
        <v>239</v>
      </c>
      <c r="B23" s="1"/>
      <c r="C23" s="1">
        <f ca="1">SUM(C13:C22)</f>
        <v>0</v>
      </c>
      <c r="D23" s="1">
        <f ca="1">SUM(D13:D22)</f>
        <v>0</v>
      </c>
      <c r="E23" s="1">
        <f ca="1">SUM(E13:E22)</f>
        <v>0</v>
      </c>
      <c r="F23" s="1">
        <f ca="1">SUM(F13:F22)</f>
        <v>0</v>
      </c>
      <c r="K23" s="270">
        <f>16-IF(概算シート!B18&lt;4,概算シート!B18+12,概算シート!B18)</f>
        <v>12</v>
      </c>
      <c r="L23" s="270"/>
      <c r="M23" s="9">
        <f ca="1">ROUNDDOWN(M22*($K$23/12),-2)</f>
        <v>0</v>
      </c>
      <c r="N23" s="9">
        <f ca="1">ROUNDDOWN(N22*($K$23/12),-2)</f>
        <v>0</v>
      </c>
      <c r="O23" s="9">
        <f ca="1">ROUNDDOWN(O22*($K$23/12),-2)</f>
        <v>0</v>
      </c>
    </row>
    <row r="24" spans="1:15" x14ac:dyDescent="0.2">
      <c r="E24" t="s">
        <v>249</v>
      </c>
      <c r="G24" s="2"/>
      <c r="H24" s="2"/>
      <c r="I24" s="2"/>
      <c r="J24" s="2"/>
      <c r="K24" s="2"/>
      <c r="O24" t="s">
        <v>245</v>
      </c>
    </row>
    <row r="25" spans="1:15" x14ac:dyDescent="0.2">
      <c r="D25" s="214"/>
      <c r="G25" s="2"/>
      <c r="H25" s="2"/>
      <c r="I25" s="8"/>
      <c r="J25" s="8"/>
      <c r="K25" s="2"/>
    </row>
    <row r="26" spans="1:15" x14ac:dyDescent="0.2">
      <c r="B26" s="49"/>
      <c r="K26" s="49" t="s">
        <v>28</v>
      </c>
      <c r="L26" t="s">
        <v>181</v>
      </c>
    </row>
    <row r="27" spans="1:15" x14ac:dyDescent="0.2">
      <c r="B27" s="58"/>
      <c r="C27" s="58"/>
      <c r="D27" s="58"/>
      <c r="E27" s="58"/>
      <c r="G27" s="58"/>
      <c r="H27" s="58"/>
      <c r="I27" s="58"/>
      <c r="J27" s="50"/>
      <c r="K27" s="269" t="s">
        <v>83</v>
      </c>
      <c r="L27" s="1" t="s">
        <v>6</v>
      </c>
      <c r="M27" s="9">
        <f ca="1">ROUNDDOWN(介護2号判定!T56,0)</f>
        <v>0</v>
      </c>
    </row>
    <row r="28" spans="1:15" x14ac:dyDescent="0.2">
      <c r="A28" s="46"/>
      <c r="B28" s="1"/>
      <c r="C28" s="1"/>
      <c r="D28" s="1"/>
      <c r="E28" s="1"/>
      <c r="G28" s="75"/>
      <c r="H28" s="1"/>
      <c r="I28" s="1"/>
      <c r="J28" s="2"/>
      <c r="K28" s="269"/>
      <c r="L28" s="1" t="s">
        <v>7</v>
      </c>
      <c r="M28" s="9">
        <f ca="1">ROUNDDOWN(介護2号判定!T70,0)</f>
        <v>0</v>
      </c>
    </row>
    <row r="29" spans="1:15" x14ac:dyDescent="0.2">
      <c r="A29" s="46"/>
      <c r="B29" s="1"/>
      <c r="C29" s="1"/>
      <c r="D29" s="1"/>
      <c r="E29" s="1"/>
      <c r="G29" s="75"/>
      <c r="H29" s="1"/>
      <c r="I29" s="1"/>
      <c r="J29" s="2"/>
      <c r="K29" s="269"/>
      <c r="L29" s="1" t="s">
        <v>8</v>
      </c>
      <c r="M29" s="9">
        <f ca="1">ROUNDDOWN(介護2号判定!T71,0)</f>
        <v>0</v>
      </c>
    </row>
    <row r="30" spans="1:15" x14ac:dyDescent="0.2">
      <c r="A30" s="46"/>
      <c r="B30" s="1"/>
      <c r="C30" s="1"/>
      <c r="D30" s="1"/>
      <c r="E30" s="1"/>
      <c r="G30" s="75"/>
      <c r="H30" s="1"/>
      <c r="I30" s="1"/>
      <c r="J30" s="2"/>
      <c r="K30" s="269"/>
      <c r="L30" s="6" t="s">
        <v>20</v>
      </c>
      <c r="M30" s="10">
        <f ca="1">SUM(M27:M29)</f>
        <v>0</v>
      </c>
    </row>
    <row r="31" spans="1:15" x14ac:dyDescent="0.2">
      <c r="A31" s="46"/>
      <c r="B31" s="1"/>
      <c r="C31" s="1"/>
      <c r="D31" s="1"/>
      <c r="E31" s="1"/>
      <c r="G31" s="75"/>
      <c r="H31" s="1"/>
      <c r="I31" s="1"/>
      <c r="J31" s="2"/>
      <c r="K31" s="269"/>
      <c r="L31" s="5" t="s">
        <v>21</v>
      </c>
      <c r="M31" s="9">
        <f ca="1">ROUNDUP(介護2号判定!T75,0)</f>
        <v>0</v>
      </c>
    </row>
    <row r="32" spans="1:15" x14ac:dyDescent="0.2">
      <c r="A32" s="46"/>
      <c r="B32" s="1"/>
      <c r="C32" s="1"/>
      <c r="D32" s="1"/>
      <c r="E32" s="1"/>
      <c r="G32" s="75"/>
      <c r="H32" s="1"/>
      <c r="I32" s="1"/>
      <c r="J32" s="2"/>
      <c r="K32" s="269"/>
      <c r="L32" s="5" t="s">
        <v>22</v>
      </c>
      <c r="M32" s="9">
        <f ca="1">ROUNDUP(介護2号判定!T76,0)</f>
        <v>0</v>
      </c>
    </row>
    <row r="33" spans="1:13" x14ac:dyDescent="0.2">
      <c r="A33" s="46"/>
      <c r="B33" s="1"/>
      <c r="C33" s="1"/>
      <c r="D33" s="1"/>
      <c r="E33" s="1"/>
      <c r="G33" s="75"/>
      <c r="H33" s="1"/>
      <c r="I33" s="1"/>
      <c r="J33" s="2"/>
      <c r="K33" s="269"/>
      <c r="L33" s="6" t="s">
        <v>24</v>
      </c>
      <c r="M33" s="10">
        <f ca="1">M30-M31-M32</f>
        <v>0</v>
      </c>
    </row>
    <row r="34" spans="1:13" x14ac:dyDescent="0.2">
      <c r="A34" s="46"/>
      <c r="B34" s="1"/>
      <c r="C34" s="1"/>
      <c r="D34" s="1"/>
      <c r="E34" s="1"/>
      <c r="G34" s="75"/>
      <c r="H34" s="1"/>
      <c r="I34" s="1"/>
      <c r="J34" s="2"/>
      <c r="K34" s="269"/>
      <c r="L34" s="1" t="s">
        <v>19</v>
      </c>
      <c r="M34" s="9" t="s">
        <v>180</v>
      </c>
    </row>
    <row r="35" spans="1:13" x14ac:dyDescent="0.2">
      <c r="A35" s="46"/>
      <c r="B35" s="1"/>
      <c r="C35" s="1"/>
      <c r="D35" s="1"/>
      <c r="E35" s="1"/>
      <c r="G35" s="75"/>
      <c r="H35" s="1"/>
      <c r="I35" s="1"/>
      <c r="J35" s="2"/>
      <c r="K35" s="269"/>
      <c r="L35" s="6" t="s">
        <v>23</v>
      </c>
      <c r="M35" s="10">
        <f ca="1">ROUNDDOWN(介護2号判定!T86,-2)</f>
        <v>0</v>
      </c>
    </row>
    <row r="36" spans="1:13" x14ac:dyDescent="0.2">
      <c r="A36" s="46"/>
      <c r="B36" s="1"/>
      <c r="C36" s="1"/>
      <c r="D36" s="1"/>
      <c r="E36" s="1"/>
      <c r="G36" s="75"/>
      <c r="H36" s="1"/>
      <c r="I36" s="1"/>
      <c r="J36" s="2"/>
      <c r="K36" s="270"/>
      <c r="L36" s="270"/>
      <c r="M36" s="9">
        <f ca="1">M35</f>
        <v>0</v>
      </c>
    </row>
    <row r="37" spans="1:13" x14ac:dyDescent="0.2">
      <c r="A37" s="46"/>
      <c r="B37" s="1"/>
      <c r="C37" s="1"/>
      <c r="D37" s="1"/>
      <c r="E37" s="1"/>
      <c r="G37" s="75"/>
      <c r="H37" s="1"/>
      <c r="I37" s="1"/>
      <c r="J37" s="2"/>
      <c r="K37" s="2"/>
      <c r="L37" t="s">
        <v>202</v>
      </c>
      <c r="M37">
        <f ca="1">介護2号判定!T87</f>
        <v>0</v>
      </c>
    </row>
    <row r="38" spans="1:13" x14ac:dyDescent="0.2">
      <c r="B38" s="2"/>
      <c r="C38" s="2"/>
      <c r="D38" s="50"/>
      <c r="E38" s="50"/>
      <c r="G38" s="2"/>
      <c r="K38" s="2"/>
    </row>
    <row r="39" spans="1:13" x14ac:dyDescent="0.2">
      <c r="G39" s="220"/>
      <c r="H39" s="220"/>
      <c r="I39" s="2"/>
      <c r="J39" s="2"/>
      <c r="K39" s="2"/>
    </row>
    <row r="40" spans="1:13" x14ac:dyDescent="0.2">
      <c r="G40" s="2"/>
      <c r="H40" s="2"/>
      <c r="I40" s="8"/>
      <c r="J40" s="8"/>
      <c r="K40" s="2"/>
    </row>
    <row r="41" spans="1:13" x14ac:dyDescent="0.2">
      <c r="G41" s="2"/>
      <c r="H41" s="2"/>
      <c r="I41" s="8"/>
      <c r="J41" s="8"/>
      <c r="K41" s="2"/>
    </row>
    <row r="42" spans="1:13" x14ac:dyDescent="0.2">
      <c r="B42" s="49" t="s">
        <v>52</v>
      </c>
      <c r="G42" s="2"/>
      <c r="H42" s="2"/>
      <c r="I42" s="2"/>
      <c r="J42" s="2"/>
      <c r="K42" s="2"/>
    </row>
    <row r="43" spans="1:13" x14ac:dyDescent="0.2">
      <c r="B43" s="58" t="s">
        <v>85</v>
      </c>
      <c r="C43" s="58" t="s">
        <v>86</v>
      </c>
      <c r="D43" s="58" t="s">
        <v>54</v>
      </c>
      <c r="E43" s="58" t="s">
        <v>63</v>
      </c>
      <c r="F43" s="271" t="s">
        <v>53</v>
      </c>
      <c r="G43" s="272"/>
      <c r="H43" s="58" t="s">
        <v>69</v>
      </c>
      <c r="I43" s="2"/>
      <c r="J43" s="2"/>
    </row>
    <row r="44" spans="1:13" x14ac:dyDescent="0.2">
      <c r="A44" s="46" t="s">
        <v>45</v>
      </c>
      <c r="B44" s="74">
        <f>概算シート!W6</f>
        <v>0</v>
      </c>
      <c r="C44" s="1">
        <f t="shared" ref="C44:C53" si="4">IF(OR(B44=0,B44&gt;$H$4),0,1)</f>
        <v>0</v>
      </c>
      <c r="D44" s="1">
        <f>IF(C44=0,'給与年金(基礎)'!BR5,IF('給与年金(基礎)'!BR5&gt;150000,'給与年金(基礎)'!BR5-150000,0))</f>
        <v>0</v>
      </c>
      <c r="E44" s="1">
        <f>IF(C44=0,'給与年金(基礎)'!BQ5,'給与年金 (軽減)'!BQ5)</f>
        <v>0</v>
      </c>
      <c r="F44" s="1">
        <f>IF(C44=0,概算シート!L6,D44+E44+概算シート!K6)</f>
        <v>0</v>
      </c>
      <c r="G44" s="1">
        <f>IF(F44&lt;0,0,F44)</f>
        <v>0</v>
      </c>
      <c r="H44" s="1">
        <f>IF(OR(D44&gt;0,E44&gt;0,概算シート!G6&gt;550000),1,0)</f>
        <v>0</v>
      </c>
    </row>
    <row r="45" spans="1:13" x14ac:dyDescent="0.2">
      <c r="A45" s="46" t="s">
        <v>9</v>
      </c>
      <c r="B45" s="74">
        <f>概算シート!W7</f>
        <v>0</v>
      </c>
      <c r="C45" s="1">
        <f t="shared" si="4"/>
        <v>0</v>
      </c>
      <c r="D45" s="1">
        <f>IF(B45&gt;$H$4,'給与年金(基礎)'!BR6,IF('給与年金(基礎)'!BR6&gt;150000,'給与年金(基礎)'!BR6-150000,0))</f>
        <v>0</v>
      </c>
      <c r="E45" s="1">
        <f>IF(C45=0,'給与年金(基礎)'!BQ6,'給与年金 (軽減)'!BQ6)</f>
        <v>0</v>
      </c>
      <c r="F45" s="1">
        <f>IF(C45=0,概算シート!L7,D45+E45+概算シート!K7)</f>
        <v>0</v>
      </c>
      <c r="G45" s="1">
        <f t="shared" ref="G45:G53" si="5">IF(F45&lt;0,0,F45)</f>
        <v>0</v>
      </c>
      <c r="H45" s="1">
        <f>IF(OR(D45&gt;0,E45&gt;0,概算シート!G7&gt;550000),1,0)</f>
        <v>0</v>
      </c>
    </row>
    <row r="46" spans="1:13" x14ac:dyDescent="0.2">
      <c r="A46" s="46" t="s">
        <v>10</v>
      </c>
      <c r="B46" s="74">
        <f>概算シート!W8</f>
        <v>0</v>
      </c>
      <c r="C46" s="1">
        <f t="shared" si="4"/>
        <v>0</v>
      </c>
      <c r="D46" s="1">
        <f>IF(B46&gt;$H$4,'給与年金(基礎)'!BR7,IF('給与年金(基礎)'!BR7&gt;150000,'給与年金(基礎)'!BR7-150000,0))</f>
        <v>0</v>
      </c>
      <c r="E46" s="1">
        <f>IF(C46=0,'給与年金(基礎)'!BQ7,'給与年金 (軽減)'!BQ7)</f>
        <v>0</v>
      </c>
      <c r="F46" s="1">
        <f>IF(C46=0,概算シート!L8,D46+E46+概算シート!K8)</f>
        <v>0</v>
      </c>
      <c r="G46" s="1">
        <f t="shared" si="5"/>
        <v>0</v>
      </c>
      <c r="H46" s="1">
        <f>IF(OR(D46&gt;0,E46&gt;0,概算シート!G8&gt;550000),1,0)</f>
        <v>0</v>
      </c>
    </row>
    <row r="47" spans="1:13" x14ac:dyDescent="0.2">
      <c r="A47" s="46" t="s">
        <v>11</v>
      </c>
      <c r="B47" s="74">
        <f>概算シート!W9</f>
        <v>0</v>
      </c>
      <c r="C47" s="1">
        <f t="shared" si="4"/>
        <v>0</v>
      </c>
      <c r="D47" s="1">
        <f>IF(B47&gt;$H$4,'給与年金(基礎)'!BR8,IF('給与年金(基礎)'!BR8&gt;150000,'給与年金(基礎)'!BR8-150000,0))</f>
        <v>0</v>
      </c>
      <c r="E47" s="1">
        <f>IF(C47=0,'給与年金(基礎)'!BQ8,'給与年金 (軽減)'!BQ8)</f>
        <v>0</v>
      </c>
      <c r="F47" s="1">
        <f>IF(C47=0,概算シート!L9,D47+E47+概算シート!K9)</f>
        <v>0</v>
      </c>
      <c r="G47" s="1">
        <f t="shared" si="5"/>
        <v>0</v>
      </c>
      <c r="H47" s="1">
        <f>IF(OR(D47&gt;0,E47&gt;0,概算シート!G9&gt;550000),1,0)</f>
        <v>0</v>
      </c>
    </row>
    <row r="48" spans="1:13" x14ac:dyDescent="0.2">
      <c r="A48" s="46" t="s">
        <v>12</v>
      </c>
      <c r="B48" s="74">
        <f>概算シート!W10</f>
        <v>0</v>
      </c>
      <c r="C48" s="1">
        <f t="shared" si="4"/>
        <v>0</v>
      </c>
      <c r="D48" s="1">
        <f>IF(B48&gt;$H$4,'給与年金(基礎)'!BR9,IF('給与年金(基礎)'!BR9&gt;150000,'給与年金(基礎)'!BR9-150000,0))</f>
        <v>0</v>
      </c>
      <c r="E48" s="1">
        <f>IF(C48=0,'給与年金(基礎)'!BQ9,'給与年金 (軽減)'!BQ9)</f>
        <v>0</v>
      </c>
      <c r="F48" s="1">
        <f>IF(C48=0,概算シート!L10,D48+E48+概算シート!K10)</f>
        <v>0</v>
      </c>
      <c r="G48" s="1">
        <f t="shared" si="5"/>
        <v>0</v>
      </c>
      <c r="H48" s="1">
        <f>IF(OR(D48&gt;0,E48&gt;0,概算シート!G10&gt;550000),1,0)</f>
        <v>0</v>
      </c>
    </row>
    <row r="49" spans="1:8" x14ac:dyDescent="0.2">
      <c r="A49" s="46" t="s">
        <v>13</v>
      </c>
      <c r="B49" s="74">
        <f>概算シート!W11</f>
        <v>0</v>
      </c>
      <c r="C49" s="1">
        <f t="shared" si="4"/>
        <v>0</v>
      </c>
      <c r="D49" s="1">
        <f>IF(B49&gt;$H$4,'給与年金(基礎)'!BR10,IF('給与年金(基礎)'!BR10&gt;150000,'給与年金(基礎)'!BR10-150000,0))</f>
        <v>0</v>
      </c>
      <c r="E49" s="1">
        <f>IF(C49=0,'給与年金(基礎)'!BQ10,'給与年金 (軽減)'!BQ10)</f>
        <v>0</v>
      </c>
      <c r="F49" s="1">
        <f>IF(C49=0,概算シート!L11,D49+E49+概算シート!K11)</f>
        <v>0</v>
      </c>
      <c r="G49" s="1">
        <f t="shared" si="5"/>
        <v>0</v>
      </c>
      <c r="H49" s="1">
        <f>IF(OR(D49&gt;0,E49&gt;0,概算シート!G11&gt;550000),1,0)</f>
        <v>0</v>
      </c>
    </row>
    <row r="50" spans="1:8" x14ac:dyDescent="0.2">
      <c r="A50" s="46" t="s">
        <v>14</v>
      </c>
      <c r="B50" s="74">
        <f>概算シート!W12</f>
        <v>0</v>
      </c>
      <c r="C50" s="1">
        <f t="shared" si="4"/>
        <v>0</v>
      </c>
      <c r="D50" s="1">
        <f>IF(B50&gt;$H$4,'給与年金(基礎)'!BR11,IF('給与年金(基礎)'!BR11&gt;150000,'給与年金(基礎)'!BR11-150000,0))</f>
        <v>0</v>
      </c>
      <c r="E50" s="1">
        <f>IF(C50=0,'給与年金(基礎)'!BQ11,'給与年金 (軽減)'!BQ11)</f>
        <v>0</v>
      </c>
      <c r="F50" s="1">
        <f>IF(C50=0,概算シート!L12,D50+E50+概算シート!K12)</f>
        <v>0</v>
      </c>
      <c r="G50" s="1">
        <f t="shared" si="5"/>
        <v>0</v>
      </c>
      <c r="H50" s="1">
        <f>IF(OR(D50&gt;0,E50&gt;0,概算シート!G12&gt;550000),1,0)</f>
        <v>0</v>
      </c>
    </row>
    <row r="51" spans="1:8" x14ac:dyDescent="0.2">
      <c r="A51" s="46" t="s">
        <v>15</v>
      </c>
      <c r="B51" s="74">
        <f>概算シート!W13</f>
        <v>0</v>
      </c>
      <c r="C51" s="1">
        <f t="shared" si="4"/>
        <v>0</v>
      </c>
      <c r="D51" s="1">
        <f>IF(B51&gt;$H$4,'給与年金(基礎)'!BR12,IF('給与年金(基礎)'!BR12&gt;150000,'給与年金(基礎)'!BR12-150000,0))</f>
        <v>0</v>
      </c>
      <c r="E51" s="1">
        <f>IF(C51=0,'給与年金(基礎)'!BQ12,'給与年金 (軽減)'!BQ12)</f>
        <v>0</v>
      </c>
      <c r="F51" s="1">
        <f>IF(C51=0,概算シート!L13,D51+E51+概算シート!K13)</f>
        <v>0</v>
      </c>
      <c r="G51" s="1">
        <f t="shared" si="5"/>
        <v>0</v>
      </c>
      <c r="H51" s="1">
        <f>IF(OR(D51&gt;0,E51&gt;0,概算シート!G13&gt;550000),1,0)</f>
        <v>0</v>
      </c>
    </row>
    <row r="52" spans="1:8" x14ac:dyDescent="0.2">
      <c r="A52" s="46" t="s">
        <v>16</v>
      </c>
      <c r="B52" s="74">
        <f>概算シート!W14</f>
        <v>0</v>
      </c>
      <c r="C52" s="1">
        <f t="shared" si="4"/>
        <v>0</v>
      </c>
      <c r="D52" s="1">
        <f>IF(B52&gt;$H$4,'給与年金(基礎)'!BR13,IF('給与年金(基礎)'!BR13&gt;150000,'給与年金(基礎)'!BR13-150000,0))</f>
        <v>0</v>
      </c>
      <c r="E52" s="1">
        <f>IF(C52=0,'給与年金(基礎)'!BQ13,'給与年金 (軽減)'!BQ13)</f>
        <v>0</v>
      </c>
      <c r="F52" s="1">
        <f>IF(C52=0,概算シート!L14,D52+E52+概算シート!K14)</f>
        <v>0</v>
      </c>
      <c r="G52" s="1">
        <f t="shared" si="5"/>
        <v>0</v>
      </c>
      <c r="H52" s="1">
        <f>IF(OR(D52&gt;0,E52&gt;0,概算シート!G14&gt;550000),1,0)</f>
        <v>0</v>
      </c>
    </row>
    <row r="53" spans="1:8" ht="13.85" thickBot="1" x14ac:dyDescent="0.25">
      <c r="A53" s="46" t="s">
        <v>17</v>
      </c>
      <c r="B53" s="74">
        <f>概算シート!W15</f>
        <v>0</v>
      </c>
      <c r="C53" s="1">
        <f t="shared" si="4"/>
        <v>0</v>
      </c>
      <c r="D53" s="1">
        <f>IF(B53&gt;$H$4,'給与年金(基礎)'!BR14,IF('給与年金(基礎)'!BR14&gt;150000,'給与年金(基礎)'!BR14-150000,0))</f>
        <v>0</v>
      </c>
      <c r="E53" s="1">
        <f>IF(C53=0,'給与年金(基礎)'!BQ14,'給与年金 (軽減)'!BQ14)</f>
        <v>0</v>
      </c>
      <c r="F53" s="1">
        <f>IF(C53=0,概算シート!L15,D53+E53+概算シート!K15)</f>
        <v>0</v>
      </c>
      <c r="G53" s="1">
        <f t="shared" si="5"/>
        <v>0</v>
      </c>
      <c r="H53" s="1">
        <f>IF(OR(D53&gt;0,E53&gt;0,概算シート!G15&gt;550000),1,0)</f>
        <v>0</v>
      </c>
    </row>
    <row r="54" spans="1:8" ht="13.85" thickBot="1" x14ac:dyDescent="0.25">
      <c r="G54" s="3">
        <f>SUM(G44:G53)</f>
        <v>0</v>
      </c>
    </row>
    <row r="56" spans="1:8" x14ac:dyDescent="0.2">
      <c r="A56" s="273" t="s">
        <v>62</v>
      </c>
      <c r="B56" s="274"/>
      <c r="C56" s="274"/>
      <c r="D56" s="1">
        <f>SUM(H44:H53)</f>
        <v>0</v>
      </c>
    </row>
    <row r="57" spans="1:8" x14ac:dyDescent="0.2">
      <c r="A57" s="273" t="s">
        <v>64</v>
      </c>
      <c r="B57" s="274"/>
      <c r="C57" s="275"/>
      <c r="D57" s="1">
        <f ca="1">COUNTIF(概算シート!N6:N15,"対象")</f>
        <v>0</v>
      </c>
    </row>
    <row r="58" spans="1:8" x14ac:dyDescent="0.2">
      <c r="G58" s="154" t="s">
        <v>118</v>
      </c>
      <c r="H58" s="154">
        <f ca="1">IF(D63&gt;0,IF(F23&gt;0,4,2),IF(F23&gt;0,3,1))</f>
        <v>1</v>
      </c>
    </row>
    <row r="59" spans="1:8" x14ac:dyDescent="0.2">
      <c r="A59" s="58" t="s">
        <v>66</v>
      </c>
      <c r="B59" s="58" t="s">
        <v>67</v>
      </c>
      <c r="C59" s="58" t="s">
        <v>65</v>
      </c>
      <c r="D59" s="58" t="s">
        <v>68</v>
      </c>
      <c r="G59" s="1">
        <v>1</v>
      </c>
      <c r="H59" s="1" t="str">
        <f>""</f>
        <v/>
      </c>
    </row>
    <row r="60" spans="1:8" x14ac:dyDescent="0.2">
      <c r="A60" s="48">
        <v>7</v>
      </c>
      <c r="B60" s="1">
        <v>0</v>
      </c>
      <c r="C60" s="1">
        <f ca="1">H2+IF(D$56&gt;1,((D$56-1)*100000),0)+B60*D$57</f>
        <v>430000</v>
      </c>
      <c r="D60" s="1">
        <f ca="1">IF(C23=0,0,IF($G$54&lt;=C60,1,0))</f>
        <v>0</v>
      </c>
      <c r="G60" s="1">
        <v>2</v>
      </c>
      <c r="H60" s="1" t="str">
        <f ca="1">"※"&amp;D63*10&amp;"割軽減適用後の税額です。"</f>
        <v>※0割軽減適用後の税額です。</v>
      </c>
    </row>
    <row r="61" spans="1:8" x14ac:dyDescent="0.2">
      <c r="A61" s="48">
        <v>5</v>
      </c>
      <c r="B61" s="1">
        <f>K3</f>
        <v>310000</v>
      </c>
      <c r="C61" s="1">
        <f ca="1">H2+IF(D$56&gt;1,((D$56-1)*100000),0)+B61*D$57</f>
        <v>430000</v>
      </c>
      <c r="D61" s="1">
        <f ca="1">IF(C23=0,0,IF(AND(D60=0,$G$54&lt;=C61),1,0))</f>
        <v>0</v>
      </c>
      <c r="G61" s="1">
        <v>3</v>
      </c>
      <c r="H61" s="1" t="s">
        <v>119</v>
      </c>
    </row>
    <row r="62" spans="1:8" ht="13.85" thickBot="1" x14ac:dyDescent="0.25">
      <c r="A62" s="48">
        <v>2</v>
      </c>
      <c r="B62" s="1">
        <f>K4</f>
        <v>570000</v>
      </c>
      <c r="C62" s="1">
        <f ca="1">H2+IF(D$56&gt;1,((D$56-1)*100000),0)+B62*D$57</f>
        <v>430000</v>
      </c>
      <c r="D62" s="47">
        <f ca="1">IF(C23=0,0,IF(AND(D60+D61=0,$G$54&lt;=C62),1,0))</f>
        <v>0</v>
      </c>
      <c r="G62" s="1">
        <v>4</v>
      </c>
      <c r="H62" s="1" t="str">
        <f ca="1">"※"&amp;D63*10&amp;"割軽減＆未就学児均等割軽減適用後の税額です。"</f>
        <v>※0割軽減＆未就学児均等割軽減適用後の税額です。</v>
      </c>
    </row>
    <row r="63" spans="1:8" ht="13.85" thickBot="1" x14ac:dyDescent="0.25">
      <c r="D63" s="3">
        <f ca="1">(A60*D60+A61*D61+A62*D62)/10</f>
        <v>0</v>
      </c>
    </row>
    <row r="65" spans="1:9" x14ac:dyDescent="0.2">
      <c r="G65" s="153" t="s">
        <v>123</v>
      </c>
      <c r="H65" s="154">
        <f>IF(SUM(概算シート!D6:F15)=0,3,IF(B13=0,2,1))</f>
        <v>3</v>
      </c>
    </row>
    <row r="66" spans="1:9" x14ac:dyDescent="0.2">
      <c r="G66" s="1">
        <v>1</v>
      </c>
      <c r="H66" s="9">
        <f ca="1">SUM(概算シート!G31:J32)</f>
        <v>0</v>
      </c>
    </row>
    <row r="67" spans="1:9" x14ac:dyDescent="0.2">
      <c r="G67" s="1">
        <v>2</v>
      </c>
      <c r="H67" s="1" t="s">
        <v>124</v>
      </c>
    </row>
    <row r="68" spans="1:9" x14ac:dyDescent="0.2">
      <c r="G68" s="1">
        <v>3</v>
      </c>
      <c r="H68" s="1" t="str">
        <f>""</f>
        <v/>
      </c>
    </row>
    <row r="70" spans="1:9" ht="13.85" thickBot="1" x14ac:dyDescent="0.25">
      <c r="A70" s="49" t="s">
        <v>130</v>
      </c>
    </row>
    <row r="71" spans="1:9" ht="31.6" x14ac:dyDescent="0.2">
      <c r="A71" s="58"/>
      <c r="B71" s="164" t="s">
        <v>129</v>
      </c>
      <c r="C71" s="165" t="s">
        <v>131</v>
      </c>
      <c r="D71" s="165" t="s">
        <v>132</v>
      </c>
      <c r="E71" s="165" t="s">
        <v>133</v>
      </c>
      <c r="F71" s="165" t="s">
        <v>134</v>
      </c>
      <c r="G71" s="165" t="s">
        <v>136</v>
      </c>
      <c r="H71" s="166" t="s">
        <v>137</v>
      </c>
      <c r="I71" s="167" t="s">
        <v>139</v>
      </c>
    </row>
    <row r="72" spans="1:9" x14ac:dyDescent="0.2">
      <c r="A72" s="161" t="s">
        <v>45</v>
      </c>
      <c r="B72" s="1">
        <f>IF(概算シート!M6="",0,1)</f>
        <v>1</v>
      </c>
      <c r="C72" s="1">
        <f>IF(概算シート!C6="",0,1)</f>
        <v>0</v>
      </c>
      <c r="D72" s="1">
        <f>IF(概算シート!D6=0,0,1)</f>
        <v>0</v>
      </c>
      <c r="E72" s="1">
        <f>IF(概算シート!E6=0,0,1)</f>
        <v>0</v>
      </c>
      <c r="F72" s="1">
        <f>IF(概算シート!F6=0,0,1)</f>
        <v>0</v>
      </c>
      <c r="G72" s="1">
        <f ca="1">IF(概算シート!W6&gt;TODAY()+365,0,1)</f>
        <v>1</v>
      </c>
      <c r="H72" s="63">
        <f>IF(AND(概算シート!M6="加入する",概算シート!W6&lt;=H$83),0,1)</f>
        <v>0</v>
      </c>
      <c r="I72" s="162">
        <f ca="1">B72*C72*D72*E72*F72*G72*H72</f>
        <v>0</v>
      </c>
    </row>
    <row r="73" spans="1:9" x14ac:dyDescent="0.2">
      <c r="A73" s="161" t="s">
        <v>9</v>
      </c>
      <c r="B73" s="156" t="s">
        <v>135</v>
      </c>
      <c r="C73" s="1">
        <f>IF(概算シート!C7="",0,1)</f>
        <v>0</v>
      </c>
      <c r="D73" s="1">
        <f>IF(概算シート!D7=0,0,1)</f>
        <v>0</v>
      </c>
      <c r="E73" s="1">
        <f>IF(概算シート!E7=0,0,1)</f>
        <v>0</v>
      </c>
      <c r="F73" s="1">
        <f>IF(概算シート!F7=0,0,1)</f>
        <v>0</v>
      </c>
      <c r="G73" s="1">
        <f ca="1">IF(概算シート!W7&gt;TODAY()+365,0,1)</f>
        <v>1</v>
      </c>
      <c r="H73" s="63">
        <f>IF(AND(概算シート!M7="加入する",概算シート!W7&lt;=H$83),0,1)</f>
        <v>1</v>
      </c>
      <c r="I73" s="162">
        <f ca="1">C73*D73*E73*F73*G73*H73</f>
        <v>0</v>
      </c>
    </row>
    <row r="74" spans="1:9" x14ac:dyDescent="0.2">
      <c r="A74" s="161" t="s">
        <v>10</v>
      </c>
      <c r="B74" s="156" t="s">
        <v>135</v>
      </c>
      <c r="C74" s="1">
        <f>IF(概算シート!C8="",0,1)</f>
        <v>0</v>
      </c>
      <c r="D74" s="1">
        <f>IF(概算シート!D8=0,0,1)</f>
        <v>0</v>
      </c>
      <c r="E74" s="1">
        <f>IF(概算シート!E8=0,0,1)</f>
        <v>0</v>
      </c>
      <c r="F74" s="1">
        <f>IF(概算シート!F8=0,0,1)</f>
        <v>0</v>
      </c>
      <c r="G74" s="1">
        <f ca="1">IF(概算シート!W8&gt;TODAY()+365,0,1)</f>
        <v>1</v>
      </c>
      <c r="H74" s="63">
        <f>IF(AND(概算シート!M8="加入する",概算シート!W8&lt;=H$83),0,1)</f>
        <v>1</v>
      </c>
      <c r="I74" s="162">
        <f t="shared" ref="I74:I81" ca="1" si="6">C74*D74*E74*F74*G74*H74</f>
        <v>0</v>
      </c>
    </row>
    <row r="75" spans="1:9" x14ac:dyDescent="0.2">
      <c r="A75" s="161" t="s">
        <v>11</v>
      </c>
      <c r="B75" s="156" t="s">
        <v>135</v>
      </c>
      <c r="C75" s="1">
        <f>IF(概算シート!C9="",0,1)</f>
        <v>0</v>
      </c>
      <c r="D75" s="1">
        <f>IF(概算シート!D9=0,0,1)</f>
        <v>0</v>
      </c>
      <c r="E75" s="1">
        <f>IF(概算シート!E9=0,0,1)</f>
        <v>0</v>
      </c>
      <c r="F75" s="1">
        <f>IF(概算シート!F9=0,0,1)</f>
        <v>0</v>
      </c>
      <c r="G75" s="1">
        <f ca="1">IF(概算シート!W9&gt;TODAY()+365,0,1)</f>
        <v>1</v>
      </c>
      <c r="H75" s="63">
        <f>IF(AND(概算シート!M9="加入する",概算シート!W9&lt;=H$83),0,1)</f>
        <v>1</v>
      </c>
      <c r="I75" s="162">
        <f t="shared" ca="1" si="6"/>
        <v>0</v>
      </c>
    </row>
    <row r="76" spans="1:9" x14ac:dyDescent="0.2">
      <c r="A76" s="161" t="s">
        <v>12</v>
      </c>
      <c r="B76" s="156" t="s">
        <v>135</v>
      </c>
      <c r="C76" s="1">
        <f>IF(概算シート!C10="",0,1)</f>
        <v>0</v>
      </c>
      <c r="D76" s="1">
        <f>IF(概算シート!D10=0,0,1)</f>
        <v>0</v>
      </c>
      <c r="E76" s="1">
        <f>IF(概算シート!E10=0,0,1)</f>
        <v>0</v>
      </c>
      <c r="F76" s="1">
        <f>IF(概算シート!F10=0,0,1)</f>
        <v>0</v>
      </c>
      <c r="G76" s="1">
        <f ca="1">IF(概算シート!W10&gt;TODAY()+365,0,1)</f>
        <v>1</v>
      </c>
      <c r="H76" s="63">
        <f>IF(AND(概算シート!M10="加入する",概算シート!W10&lt;=H$83),0,1)</f>
        <v>1</v>
      </c>
      <c r="I76" s="162">
        <f t="shared" ca="1" si="6"/>
        <v>0</v>
      </c>
    </row>
    <row r="77" spans="1:9" x14ac:dyDescent="0.2">
      <c r="A77" s="161" t="s">
        <v>13</v>
      </c>
      <c r="B77" s="156" t="s">
        <v>135</v>
      </c>
      <c r="C77" s="1">
        <f>IF(概算シート!C11="",0,1)</f>
        <v>0</v>
      </c>
      <c r="D77" s="1">
        <f>IF(概算シート!D11=0,0,1)</f>
        <v>0</v>
      </c>
      <c r="E77" s="1">
        <f>IF(概算シート!E11=0,0,1)</f>
        <v>0</v>
      </c>
      <c r="F77" s="1">
        <f>IF(概算シート!F11=0,0,1)</f>
        <v>0</v>
      </c>
      <c r="G77" s="1">
        <f ca="1">IF(概算シート!W11&gt;TODAY()+365,0,1)</f>
        <v>1</v>
      </c>
      <c r="H77" s="63">
        <f>IF(AND(概算シート!M11="加入する",概算シート!W11&lt;=H$83),0,1)</f>
        <v>1</v>
      </c>
      <c r="I77" s="162">
        <f t="shared" ca="1" si="6"/>
        <v>0</v>
      </c>
    </row>
    <row r="78" spans="1:9" x14ac:dyDescent="0.2">
      <c r="A78" s="161" t="s">
        <v>14</v>
      </c>
      <c r="B78" s="156" t="s">
        <v>135</v>
      </c>
      <c r="C78" s="1">
        <f>IF(概算シート!C12="",0,1)</f>
        <v>0</v>
      </c>
      <c r="D78" s="1">
        <f>IF(概算シート!D12=0,0,1)</f>
        <v>0</v>
      </c>
      <c r="E78" s="1">
        <f>IF(概算シート!E12=0,0,1)</f>
        <v>0</v>
      </c>
      <c r="F78" s="1">
        <f>IF(概算シート!F12=0,0,1)</f>
        <v>0</v>
      </c>
      <c r="G78" s="1">
        <f ca="1">IF(概算シート!W12&gt;TODAY()+365,0,1)</f>
        <v>1</v>
      </c>
      <c r="H78" s="63">
        <f>IF(AND(概算シート!M12="加入する",概算シート!W12&lt;=H$83),0,1)</f>
        <v>1</v>
      </c>
      <c r="I78" s="162">
        <f t="shared" ca="1" si="6"/>
        <v>0</v>
      </c>
    </row>
    <row r="79" spans="1:9" x14ac:dyDescent="0.2">
      <c r="A79" s="161" t="s">
        <v>15</v>
      </c>
      <c r="B79" s="156" t="s">
        <v>135</v>
      </c>
      <c r="C79" s="1">
        <f>IF(概算シート!C13="",0,1)</f>
        <v>0</v>
      </c>
      <c r="D79" s="1">
        <f>IF(概算シート!D13=0,0,1)</f>
        <v>0</v>
      </c>
      <c r="E79" s="1">
        <f>IF(概算シート!E13=0,0,1)</f>
        <v>0</v>
      </c>
      <c r="F79" s="1">
        <f>IF(概算シート!F13=0,0,1)</f>
        <v>0</v>
      </c>
      <c r="G79" s="1">
        <f ca="1">IF(概算シート!W13&gt;TODAY()+365,0,1)</f>
        <v>1</v>
      </c>
      <c r="H79" s="63">
        <f>IF(AND(概算シート!M13="加入する",概算シート!W13&lt;=H$83),0,1)</f>
        <v>1</v>
      </c>
      <c r="I79" s="162">
        <f t="shared" ca="1" si="6"/>
        <v>0</v>
      </c>
    </row>
    <row r="80" spans="1:9" x14ac:dyDescent="0.2">
      <c r="A80" s="161" t="s">
        <v>16</v>
      </c>
      <c r="B80" s="156" t="s">
        <v>135</v>
      </c>
      <c r="C80" s="1">
        <f>IF(概算シート!C14="",0,1)</f>
        <v>0</v>
      </c>
      <c r="D80" s="1">
        <f>IF(概算シート!D14=0,0,1)</f>
        <v>0</v>
      </c>
      <c r="E80" s="1">
        <f>IF(概算シート!E14=0,0,1)</f>
        <v>0</v>
      </c>
      <c r="F80" s="1">
        <f>IF(概算シート!F14=0,0,1)</f>
        <v>0</v>
      </c>
      <c r="G80" s="1">
        <f ca="1">IF(概算シート!W14&gt;TODAY()+365,0,1)</f>
        <v>1</v>
      </c>
      <c r="H80" s="63">
        <f>IF(AND(概算シート!M14="加入する",概算シート!W14&lt;=H$83),0,1)</f>
        <v>1</v>
      </c>
      <c r="I80" s="162">
        <f t="shared" ca="1" si="6"/>
        <v>0</v>
      </c>
    </row>
    <row r="81" spans="1:9" ht="13.85" thickBot="1" x14ac:dyDescent="0.25">
      <c r="A81" s="161" t="s">
        <v>17</v>
      </c>
      <c r="B81" s="156" t="s">
        <v>135</v>
      </c>
      <c r="C81" s="1">
        <f>IF(概算シート!C15="",0,1)</f>
        <v>0</v>
      </c>
      <c r="D81" s="1">
        <f>IF(概算シート!D15=0,0,1)</f>
        <v>0</v>
      </c>
      <c r="E81" s="1">
        <f>IF(概算シート!E15=0,0,1)</f>
        <v>0</v>
      </c>
      <c r="F81" s="1">
        <f>IF(概算シート!F15=0,0,1)</f>
        <v>0</v>
      </c>
      <c r="G81" s="1">
        <f ca="1">IF(概算シート!W15&gt;TODAY()+365,0,1)</f>
        <v>1</v>
      </c>
      <c r="H81" s="63">
        <f>IF(AND(概算シート!M15="加入する",概算シート!W15&lt;=H$83),0,1)</f>
        <v>1</v>
      </c>
      <c r="I81" s="163">
        <f t="shared" ca="1" si="6"/>
        <v>0</v>
      </c>
    </row>
    <row r="82" spans="1:9" x14ac:dyDescent="0.2">
      <c r="H82" s="160" t="s">
        <v>138</v>
      </c>
    </row>
    <row r="83" spans="1:9" x14ac:dyDescent="0.2">
      <c r="H83" s="129">
        <f>DATE(B1-75,4,1)</f>
        <v>18719</v>
      </c>
    </row>
  </sheetData>
  <sheetProtection selectLockedCells="1"/>
  <mergeCells count="13">
    <mergeCell ref="F5:G5"/>
    <mergeCell ref="F6:G6"/>
    <mergeCell ref="K23:L23"/>
    <mergeCell ref="K13:K22"/>
    <mergeCell ref="F2:G2"/>
    <mergeCell ref="F3:G3"/>
    <mergeCell ref="F4:G4"/>
    <mergeCell ref="J2:K2"/>
    <mergeCell ref="K27:K35"/>
    <mergeCell ref="K36:L36"/>
    <mergeCell ref="F43:G43"/>
    <mergeCell ref="A56:C56"/>
    <mergeCell ref="A57:C5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K18"/>
  <sheetViews>
    <sheetView topLeftCell="A3" workbookViewId="0">
      <selection activeCell="B1" sqref="B1"/>
    </sheetView>
  </sheetViews>
  <sheetFormatPr defaultColWidth="8.69921875" defaultRowHeight="19.95" x14ac:dyDescent="0.2"/>
  <cols>
    <col min="1" max="1" width="8.69921875" style="133"/>
    <col min="2" max="2" width="2" style="133" customWidth="1"/>
    <col min="3" max="3" width="5.69921875" style="134" customWidth="1"/>
    <col min="4" max="4" width="6.296875" style="134" customWidth="1"/>
    <col min="5" max="5" width="9.5" style="134" customWidth="1"/>
    <col min="6" max="6" width="3.3984375" style="134" bestFit="1" customWidth="1"/>
    <col min="7" max="7" width="41.19921875" style="134" customWidth="1"/>
    <col min="8" max="8" width="3.3984375" style="134" bestFit="1" customWidth="1"/>
    <col min="9" max="9" width="33" style="134" customWidth="1"/>
    <col min="10" max="10" width="7" style="134" customWidth="1"/>
    <col min="11" max="11" width="2" style="133" customWidth="1"/>
    <col min="12" max="16384" width="8.69921875" style="133"/>
  </cols>
  <sheetData>
    <row r="1" spans="2:11" x14ac:dyDescent="0.2">
      <c r="E1" s="135"/>
      <c r="F1" s="135"/>
      <c r="G1" s="135"/>
      <c r="H1" s="135"/>
      <c r="I1" s="135"/>
      <c r="J1" s="135"/>
    </row>
    <row r="2" spans="2:11" ht="26.05" x14ac:dyDescent="0.2">
      <c r="B2" s="136"/>
      <c r="C2" s="137" t="s">
        <v>102</v>
      </c>
      <c r="D2" s="137"/>
      <c r="E2" s="138"/>
      <c r="F2" s="138"/>
      <c r="G2" s="138"/>
      <c r="H2" s="138"/>
      <c r="I2" s="138"/>
      <c r="J2" s="138"/>
      <c r="K2" s="139"/>
    </row>
    <row r="3" spans="2:11" x14ac:dyDescent="0.2">
      <c r="B3" s="140"/>
      <c r="C3" s="284" t="s">
        <v>221</v>
      </c>
      <c r="D3" s="284"/>
      <c r="E3" s="284"/>
      <c r="F3" s="284"/>
      <c r="G3" s="284"/>
      <c r="H3" s="284"/>
      <c r="I3" s="284"/>
      <c r="J3" s="284"/>
      <c r="K3" s="141"/>
    </row>
    <row r="4" spans="2:11" x14ac:dyDescent="0.2">
      <c r="B4" s="140"/>
      <c r="C4" s="284" t="s">
        <v>103</v>
      </c>
      <c r="D4" s="284"/>
      <c r="E4" s="284"/>
      <c r="F4" s="284"/>
      <c r="G4" s="284"/>
      <c r="H4" s="284"/>
      <c r="I4" s="284"/>
      <c r="J4" s="284"/>
      <c r="K4" s="141"/>
    </row>
    <row r="5" spans="2:11" ht="18.3" x14ac:dyDescent="0.2">
      <c r="B5" s="140"/>
      <c r="C5" s="287" t="s">
        <v>210</v>
      </c>
      <c r="D5" s="288"/>
      <c r="E5" s="286" t="s">
        <v>211</v>
      </c>
      <c r="F5" s="286"/>
      <c r="G5" s="286"/>
      <c r="H5" s="286"/>
      <c r="I5" s="286"/>
      <c r="J5" s="286"/>
      <c r="K5" s="141"/>
    </row>
    <row r="6" spans="2:11" ht="23.3" customHeight="1" x14ac:dyDescent="0.2">
      <c r="B6" s="140"/>
      <c r="C6" s="282" t="s">
        <v>105</v>
      </c>
      <c r="D6" s="283"/>
      <c r="E6" s="200" t="s">
        <v>215</v>
      </c>
      <c r="F6" s="201" t="s">
        <v>214</v>
      </c>
      <c r="G6" s="201" t="s">
        <v>228</v>
      </c>
      <c r="H6" s="207" t="s">
        <v>229</v>
      </c>
      <c r="I6" s="202"/>
      <c r="J6" s="203"/>
      <c r="K6" s="141"/>
    </row>
    <row r="7" spans="2:11" ht="23.3" customHeight="1" x14ac:dyDescent="0.2">
      <c r="B7" s="140"/>
      <c r="C7" s="282" t="s">
        <v>212</v>
      </c>
      <c r="D7" s="283"/>
      <c r="E7" s="200" t="s">
        <v>215</v>
      </c>
      <c r="F7" s="201" t="s">
        <v>214</v>
      </c>
      <c r="G7" s="201" t="s">
        <v>228</v>
      </c>
      <c r="H7" s="201" t="s">
        <v>214</v>
      </c>
      <c r="I7" s="202" t="s">
        <v>230</v>
      </c>
      <c r="J7" s="203" t="s">
        <v>216</v>
      </c>
      <c r="K7" s="141"/>
    </row>
    <row r="8" spans="2:11" ht="23.3" customHeight="1" x14ac:dyDescent="0.2">
      <c r="B8" s="140"/>
      <c r="C8" s="282" t="s">
        <v>213</v>
      </c>
      <c r="D8" s="283"/>
      <c r="E8" s="200" t="s">
        <v>215</v>
      </c>
      <c r="F8" s="201" t="s">
        <v>214</v>
      </c>
      <c r="G8" s="201" t="s">
        <v>228</v>
      </c>
      <c r="H8" s="201" t="s">
        <v>214</v>
      </c>
      <c r="I8" s="202" t="s">
        <v>231</v>
      </c>
      <c r="J8" s="203" t="s">
        <v>216</v>
      </c>
      <c r="K8" s="141"/>
    </row>
    <row r="9" spans="2:11" ht="17.2" customHeight="1" x14ac:dyDescent="0.2">
      <c r="B9" s="140"/>
      <c r="C9" s="205" t="s">
        <v>217</v>
      </c>
      <c r="D9" s="204" t="s">
        <v>225</v>
      </c>
      <c r="E9" s="199"/>
      <c r="F9" s="199"/>
      <c r="G9" s="199"/>
      <c r="H9" s="199"/>
      <c r="I9" s="199"/>
      <c r="J9" s="199"/>
      <c r="K9" s="141"/>
    </row>
    <row r="10" spans="2:11" ht="17.2" customHeight="1" x14ac:dyDescent="0.2">
      <c r="B10" s="140"/>
      <c r="C10" s="205"/>
      <c r="D10" s="204" t="s">
        <v>224</v>
      </c>
      <c r="E10" s="199"/>
      <c r="F10" s="199"/>
      <c r="G10" s="199"/>
      <c r="H10" s="199"/>
      <c r="I10" s="199"/>
      <c r="J10" s="199"/>
      <c r="K10" s="141"/>
    </row>
    <row r="11" spans="2:11" ht="17.2" customHeight="1" x14ac:dyDescent="0.2">
      <c r="B11" s="140"/>
      <c r="C11" s="205" t="s">
        <v>218</v>
      </c>
      <c r="D11" s="204" t="s">
        <v>250</v>
      </c>
      <c r="E11" s="199"/>
      <c r="F11" s="199"/>
      <c r="G11" s="199"/>
      <c r="H11" s="199"/>
      <c r="I11" s="199"/>
      <c r="J11" s="199"/>
      <c r="K11" s="141"/>
    </row>
    <row r="12" spans="2:11" ht="17.2" customHeight="1" x14ac:dyDescent="0.2">
      <c r="B12" s="140"/>
      <c r="C12" s="205"/>
      <c r="D12" s="204" t="s">
        <v>222</v>
      </c>
      <c r="E12" s="199"/>
      <c r="F12" s="199"/>
      <c r="G12" s="199"/>
      <c r="H12" s="199"/>
      <c r="I12" s="199"/>
      <c r="J12" s="199"/>
      <c r="K12" s="141"/>
    </row>
    <row r="13" spans="2:11" ht="17.2" customHeight="1" x14ac:dyDescent="0.2">
      <c r="B13" s="140"/>
      <c r="C13" s="205"/>
      <c r="D13" s="204" t="s">
        <v>223</v>
      </c>
      <c r="E13" s="199"/>
      <c r="F13" s="199"/>
      <c r="G13" s="199"/>
      <c r="H13" s="199"/>
      <c r="I13" s="199"/>
      <c r="J13" s="199"/>
      <c r="K13" s="141"/>
    </row>
    <row r="14" spans="2:11" ht="17.2" customHeight="1" x14ac:dyDescent="0.2">
      <c r="B14" s="140"/>
      <c r="C14" s="205" t="s">
        <v>219</v>
      </c>
      <c r="D14" s="204" t="s">
        <v>220</v>
      </c>
      <c r="E14" s="199"/>
      <c r="F14" s="199"/>
      <c r="G14" s="199"/>
      <c r="H14" s="199"/>
      <c r="I14" s="199"/>
      <c r="J14" s="199"/>
      <c r="K14" s="141"/>
    </row>
    <row r="15" spans="2:11" ht="21.6" customHeight="1" x14ac:dyDescent="0.2">
      <c r="B15" s="193"/>
      <c r="C15" s="194" t="s">
        <v>120</v>
      </c>
      <c r="D15" s="194"/>
      <c r="E15" s="195"/>
      <c r="F15" s="195"/>
      <c r="G15" s="195"/>
      <c r="H15" s="195"/>
      <c r="I15" s="195"/>
      <c r="J15" s="195"/>
      <c r="K15" s="196"/>
    </row>
    <row r="16" spans="2:11" ht="42.25" customHeight="1" x14ac:dyDescent="0.2">
      <c r="B16" s="142"/>
      <c r="C16" s="285" t="s">
        <v>121</v>
      </c>
      <c r="D16" s="285"/>
      <c r="E16" s="285"/>
      <c r="F16" s="285"/>
      <c r="G16" s="285"/>
      <c r="H16" s="285"/>
      <c r="I16" s="285"/>
      <c r="J16" s="285"/>
      <c r="K16" s="143"/>
    </row>
    <row r="17" spans="3:10" x14ac:dyDescent="0.2">
      <c r="C17" s="144"/>
      <c r="D17" s="144"/>
      <c r="E17" s="144"/>
      <c r="F17" s="144"/>
      <c r="G17" s="144"/>
      <c r="H17" s="144"/>
      <c r="I17" s="144"/>
      <c r="J17" s="144"/>
    </row>
    <row r="18" spans="3:10" x14ac:dyDescent="0.2">
      <c r="C18" s="135"/>
      <c r="D18" s="135"/>
      <c r="E18" s="135"/>
      <c r="F18" s="135"/>
      <c r="J18" s="135"/>
    </row>
  </sheetData>
  <mergeCells count="8">
    <mergeCell ref="C6:D6"/>
    <mergeCell ref="C7:D7"/>
    <mergeCell ref="C8:D8"/>
    <mergeCell ref="C3:J3"/>
    <mergeCell ref="C16:J16"/>
    <mergeCell ref="C4:J4"/>
    <mergeCell ref="E5:J5"/>
    <mergeCell ref="C5:D5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BR14"/>
  <sheetViews>
    <sheetView workbookViewId="0">
      <selection activeCell="B1" sqref="B1"/>
    </sheetView>
  </sheetViews>
  <sheetFormatPr defaultColWidth="9" defaultRowHeight="13.3" x14ac:dyDescent="0.2"/>
  <cols>
    <col min="1" max="1" width="7.5" style="11" bestFit="1" customWidth="1"/>
    <col min="2" max="3" width="11.59765625" style="11" bestFit="1" customWidth="1"/>
    <col min="4" max="4" width="9" style="11" hidden="1" customWidth="1"/>
    <col min="5" max="12" width="10.5" style="11" hidden="1" customWidth="1"/>
    <col min="13" max="14" width="11.59765625" style="11" hidden="1" customWidth="1"/>
    <col min="15" max="15" width="11.8984375" style="11" hidden="1" customWidth="1"/>
    <col min="16" max="16" width="1.69921875" style="11" customWidth="1"/>
    <col min="17" max="17" width="7.5" style="11" bestFit="1" customWidth="1"/>
    <col min="18" max="18" width="12.8984375" style="11" customWidth="1"/>
    <col min="19" max="19" width="15.69921875" style="11" customWidth="1"/>
    <col min="20" max="20" width="5.8984375" style="11" customWidth="1"/>
    <col min="21" max="21" width="13.09765625" style="11" customWidth="1"/>
    <col min="22" max="25" width="10.5" style="11" hidden="1" customWidth="1"/>
    <col min="26" max="27" width="11.59765625" style="11" hidden="1" customWidth="1"/>
    <col min="28" max="31" width="10.5" style="11" hidden="1" customWidth="1"/>
    <col min="32" max="33" width="11.59765625" style="11" hidden="1" customWidth="1"/>
    <col min="34" max="37" width="10.5" style="11" hidden="1" customWidth="1"/>
    <col min="38" max="39" width="11.59765625" style="11" hidden="1" customWidth="1"/>
    <col min="40" max="40" width="10.5" style="11" hidden="1" customWidth="1"/>
    <col min="41" max="41" width="13.09765625" style="11" bestFit="1" customWidth="1"/>
    <col min="42" max="45" width="9.8984375" style="11" hidden="1" customWidth="1"/>
    <col min="46" max="47" width="11.59765625" style="11" hidden="1" customWidth="1"/>
    <col min="48" max="51" width="9.8984375" style="11" hidden="1" customWidth="1"/>
    <col min="52" max="53" width="11.59765625" style="11" hidden="1" customWidth="1"/>
    <col min="54" max="57" width="9.8984375" style="11" hidden="1" customWidth="1"/>
    <col min="58" max="59" width="11.59765625" style="11" hidden="1" customWidth="1"/>
    <col min="60" max="60" width="9.8984375" style="11" hidden="1" customWidth="1"/>
    <col min="61" max="61" width="2.69921875" style="11" customWidth="1"/>
    <col min="62" max="62" width="7.5" style="11" bestFit="1" customWidth="1"/>
    <col min="63" max="66" width="11.19921875" style="11" customWidth="1"/>
    <col min="67" max="67" width="2.8984375" style="11" customWidth="1"/>
    <col min="68" max="68" width="5.5" style="11" bestFit="1" customWidth="1"/>
    <col min="69" max="70" width="12.59765625" style="11" customWidth="1"/>
    <col min="71" max="16384" width="9" style="11"/>
  </cols>
  <sheetData>
    <row r="1" spans="1:70" ht="13.85" thickBot="1" x14ac:dyDescent="0.25">
      <c r="R1" s="11">
        <v>18</v>
      </c>
      <c r="U1" s="11">
        <v>21</v>
      </c>
      <c r="AO1" s="11">
        <v>41</v>
      </c>
      <c r="AP1" s="11">
        <v>42</v>
      </c>
      <c r="AQ1" s="11">
        <v>43</v>
      </c>
      <c r="AR1" s="11">
        <v>44</v>
      </c>
      <c r="AS1" s="11">
        <v>45</v>
      </c>
      <c r="AT1" s="11">
        <v>46</v>
      </c>
      <c r="AU1" s="11">
        <v>47</v>
      </c>
      <c r="AV1" s="11">
        <v>48</v>
      </c>
      <c r="AW1" s="11">
        <v>49</v>
      </c>
      <c r="AX1" s="11">
        <v>50</v>
      </c>
      <c r="AY1" s="11">
        <v>51</v>
      </c>
      <c r="AZ1" s="11">
        <v>52</v>
      </c>
      <c r="BA1" s="11">
        <v>53</v>
      </c>
      <c r="BB1" s="11">
        <v>54</v>
      </c>
      <c r="BC1" s="11">
        <v>55</v>
      </c>
      <c r="BD1" s="11">
        <v>56</v>
      </c>
      <c r="BE1" s="11">
        <v>57</v>
      </c>
      <c r="BF1" s="11">
        <v>58</v>
      </c>
      <c r="BG1" s="11">
        <v>59</v>
      </c>
      <c r="BH1" s="11">
        <v>60</v>
      </c>
      <c r="BI1" s="11">
        <v>61</v>
      </c>
      <c r="BJ1" s="11">
        <v>62</v>
      </c>
      <c r="BK1" s="11">
        <v>63</v>
      </c>
    </row>
    <row r="2" spans="1:70" ht="13.85" thickBot="1" x14ac:dyDescent="0.25">
      <c r="A2" s="12"/>
      <c r="B2" s="308" t="s">
        <v>31</v>
      </c>
      <c r="C2" s="30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1"/>
      <c r="R2" s="308" t="s">
        <v>32</v>
      </c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09"/>
      <c r="BJ2" s="312" t="s">
        <v>33</v>
      </c>
      <c r="BK2" s="312"/>
      <c r="BL2" s="312"/>
      <c r="BM2" s="312"/>
      <c r="BN2" s="312"/>
      <c r="BP2" s="289" t="s">
        <v>49</v>
      </c>
      <c r="BQ2" s="292" t="s">
        <v>50</v>
      </c>
      <c r="BR2" s="295" t="s">
        <v>51</v>
      </c>
    </row>
    <row r="3" spans="1:70" x14ac:dyDescent="0.2">
      <c r="A3" s="298" t="s">
        <v>34</v>
      </c>
      <c r="B3" s="300" t="s">
        <v>35</v>
      </c>
      <c r="C3" s="302" t="s">
        <v>36</v>
      </c>
      <c r="D3" s="208"/>
      <c r="E3" s="208"/>
      <c r="F3" s="208"/>
      <c r="G3" s="208"/>
      <c r="H3" s="208"/>
      <c r="I3" s="208"/>
      <c r="J3" s="208">
        <v>1900000</v>
      </c>
      <c r="K3" s="208">
        <v>3600000</v>
      </c>
      <c r="L3" s="208">
        <v>6600000</v>
      </c>
      <c r="M3" s="208">
        <v>8500000</v>
      </c>
      <c r="N3" s="208">
        <v>8500000</v>
      </c>
      <c r="O3" s="304" t="s">
        <v>37</v>
      </c>
      <c r="P3" s="13"/>
      <c r="Q3" s="298" t="s">
        <v>34</v>
      </c>
      <c r="R3" s="301" t="s">
        <v>35</v>
      </c>
      <c r="S3" s="311" t="s">
        <v>38</v>
      </c>
      <c r="T3" s="146"/>
      <c r="U3" s="33" t="s">
        <v>39</v>
      </c>
      <c r="V3" s="34">
        <v>600000</v>
      </c>
      <c r="W3" s="35">
        <v>1300000</v>
      </c>
      <c r="X3" s="35">
        <v>4100000</v>
      </c>
      <c r="Y3" s="35">
        <v>7700000</v>
      </c>
      <c r="Z3" s="35">
        <v>10000000</v>
      </c>
      <c r="AA3" s="36">
        <v>10000000</v>
      </c>
      <c r="AB3" s="34">
        <v>500000</v>
      </c>
      <c r="AC3" s="35">
        <v>1300000</v>
      </c>
      <c r="AD3" s="35">
        <v>4100000</v>
      </c>
      <c r="AE3" s="35">
        <v>7700000</v>
      </c>
      <c r="AF3" s="35">
        <v>10000000</v>
      </c>
      <c r="AG3" s="36">
        <v>10000000</v>
      </c>
      <c r="AH3" s="34">
        <v>400000</v>
      </c>
      <c r="AI3" s="35">
        <v>1300000</v>
      </c>
      <c r="AJ3" s="35">
        <v>4100000</v>
      </c>
      <c r="AK3" s="35">
        <v>7700000</v>
      </c>
      <c r="AL3" s="35">
        <v>10000000</v>
      </c>
      <c r="AM3" s="36">
        <v>10000000</v>
      </c>
      <c r="AN3" s="306" t="s">
        <v>40</v>
      </c>
      <c r="AO3" s="39" t="s">
        <v>41</v>
      </c>
      <c r="AP3" s="14">
        <v>1100000</v>
      </c>
      <c r="AQ3" s="15">
        <v>3300000</v>
      </c>
      <c r="AR3" s="15">
        <v>4100000</v>
      </c>
      <c r="AS3" s="15">
        <v>7700000</v>
      </c>
      <c r="AT3" s="15">
        <v>10000000</v>
      </c>
      <c r="AU3" s="16">
        <v>10000000</v>
      </c>
      <c r="AV3" s="14">
        <v>1000000</v>
      </c>
      <c r="AW3" s="15">
        <v>3300000</v>
      </c>
      <c r="AX3" s="15">
        <v>4100000</v>
      </c>
      <c r="AY3" s="15">
        <v>7700000</v>
      </c>
      <c r="AZ3" s="15">
        <v>10000000</v>
      </c>
      <c r="BA3" s="16">
        <v>10000000</v>
      </c>
      <c r="BB3" s="14">
        <v>900000</v>
      </c>
      <c r="BC3" s="15">
        <v>3300000</v>
      </c>
      <c r="BD3" s="15">
        <v>4100000</v>
      </c>
      <c r="BE3" s="15">
        <v>7700000</v>
      </c>
      <c r="BF3" s="15">
        <v>10000000</v>
      </c>
      <c r="BG3" s="16">
        <v>10000000</v>
      </c>
      <c r="BH3" s="306" t="s">
        <v>37</v>
      </c>
      <c r="BJ3" s="298" t="s">
        <v>34</v>
      </c>
      <c r="BK3" s="40" t="s">
        <v>48</v>
      </c>
      <c r="BL3" s="40" t="s">
        <v>48</v>
      </c>
      <c r="BM3" s="41" t="s">
        <v>41</v>
      </c>
      <c r="BN3" s="41" t="s">
        <v>41</v>
      </c>
      <c r="BP3" s="290"/>
      <c r="BQ3" s="293"/>
      <c r="BR3" s="296"/>
    </row>
    <row r="4" spans="1:70" x14ac:dyDescent="0.2">
      <c r="A4" s="299"/>
      <c r="B4" s="301"/>
      <c r="C4" s="303"/>
      <c r="D4" s="209"/>
      <c r="E4" s="209"/>
      <c r="F4" s="209"/>
      <c r="G4" s="209"/>
      <c r="H4" s="209"/>
      <c r="I4" s="209"/>
      <c r="J4" s="209" t="s">
        <v>42</v>
      </c>
      <c r="K4" s="209" t="s">
        <v>42</v>
      </c>
      <c r="L4" s="209" t="s">
        <v>42</v>
      </c>
      <c r="M4" s="209" t="s">
        <v>42</v>
      </c>
      <c r="N4" s="209" t="s">
        <v>43</v>
      </c>
      <c r="O4" s="305"/>
      <c r="P4" s="13"/>
      <c r="Q4" s="299"/>
      <c r="R4" s="301"/>
      <c r="S4" s="311"/>
      <c r="T4" s="146"/>
      <c r="U4" s="33" t="s">
        <v>36</v>
      </c>
      <c r="V4" s="37" t="s">
        <v>42</v>
      </c>
      <c r="W4" s="32" t="s">
        <v>42</v>
      </c>
      <c r="X4" s="32" t="s">
        <v>42</v>
      </c>
      <c r="Y4" s="32" t="s">
        <v>42</v>
      </c>
      <c r="Z4" s="32" t="s">
        <v>42</v>
      </c>
      <c r="AA4" s="38" t="s">
        <v>43</v>
      </c>
      <c r="AB4" s="37" t="s">
        <v>42</v>
      </c>
      <c r="AC4" s="32" t="s">
        <v>42</v>
      </c>
      <c r="AD4" s="32" t="s">
        <v>42</v>
      </c>
      <c r="AE4" s="32" t="s">
        <v>42</v>
      </c>
      <c r="AF4" s="32" t="s">
        <v>42</v>
      </c>
      <c r="AG4" s="38" t="s">
        <v>43</v>
      </c>
      <c r="AH4" s="37" t="s">
        <v>42</v>
      </c>
      <c r="AI4" s="32" t="s">
        <v>42</v>
      </c>
      <c r="AJ4" s="32" t="s">
        <v>42</v>
      </c>
      <c r="AK4" s="32" t="s">
        <v>42</v>
      </c>
      <c r="AL4" s="32" t="s">
        <v>42</v>
      </c>
      <c r="AM4" s="38" t="s">
        <v>43</v>
      </c>
      <c r="AN4" s="307"/>
      <c r="AO4" s="39" t="s">
        <v>44</v>
      </c>
      <c r="AP4" s="17" t="s">
        <v>42</v>
      </c>
      <c r="AQ4" s="18" t="s">
        <v>42</v>
      </c>
      <c r="AR4" s="18" t="s">
        <v>42</v>
      </c>
      <c r="AS4" s="18" t="s">
        <v>42</v>
      </c>
      <c r="AT4" s="18" t="s">
        <v>42</v>
      </c>
      <c r="AU4" s="19" t="s">
        <v>43</v>
      </c>
      <c r="AV4" s="17" t="s">
        <v>42</v>
      </c>
      <c r="AW4" s="18" t="s">
        <v>42</v>
      </c>
      <c r="AX4" s="18" t="s">
        <v>42</v>
      </c>
      <c r="AY4" s="18" t="s">
        <v>42</v>
      </c>
      <c r="AZ4" s="18" t="s">
        <v>42</v>
      </c>
      <c r="BA4" s="19" t="s">
        <v>43</v>
      </c>
      <c r="BB4" s="17" t="s">
        <v>42</v>
      </c>
      <c r="BC4" s="18" t="s">
        <v>42</v>
      </c>
      <c r="BD4" s="18" t="s">
        <v>42</v>
      </c>
      <c r="BE4" s="18" t="s">
        <v>42</v>
      </c>
      <c r="BF4" s="18" t="s">
        <v>42</v>
      </c>
      <c r="BG4" s="19" t="s">
        <v>43</v>
      </c>
      <c r="BH4" s="307"/>
      <c r="BJ4" s="299"/>
      <c r="BK4" s="145"/>
      <c r="BL4" s="145" t="s">
        <v>46</v>
      </c>
      <c r="BM4" s="145"/>
      <c r="BN4" s="145" t="s">
        <v>47</v>
      </c>
      <c r="BP4" s="291"/>
      <c r="BQ4" s="294"/>
      <c r="BR4" s="297"/>
    </row>
    <row r="5" spans="1:70" x14ac:dyDescent="0.2">
      <c r="A5" s="27" t="s">
        <v>45</v>
      </c>
      <c r="B5" s="150">
        <f>概算シート!G6</f>
        <v>0</v>
      </c>
      <c r="C5" s="30">
        <f>IF($B5&gt;0,$O5,0)</f>
        <v>0</v>
      </c>
      <c r="D5" s="210"/>
      <c r="E5" s="211"/>
      <c r="F5" s="211"/>
      <c r="G5" s="211"/>
      <c r="H5" s="211"/>
      <c r="I5" s="211"/>
      <c r="J5" s="211">
        <f t="shared" ref="J5:J14" si="0">IF(B5&lt;J$3,IF(B5&lt;=650000,0,B5-650000),0)</f>
        <v>0</v>
      </c>
      <c r="K5" s="211">
        <f t="shared" ref="K5:K14" si="1">IF(B5&lt;K$3,IF(B5&lt;J$3,0,TRUNC(B5/4000)*4000*0.7-180000+100000),0)</f>
        <v>0</v>
      </c>
      <c r="L5" s="211">
        <f t="shared" ref="L5:L14" si="2">IF(B5&lt;L$3,IF(B5&lt;K$3,0,TRUNC(B5/4000)*4000*0.8-540000+100000),0)</f>
        <v>0</v>
      </c>
      <c r="M5" s="211">
        <f t="shared" ref="M5:M14" si="3">IF(B5&lt;M$3,IF(B5&lt;L$3,0,ROUNDDOWN(B5*0.9,0)-1200000+100000),0)</f>
        <v>0</v>
      </c>
      <c r="N5" s="211">
        <f t="shared" ref="N5:N14" si="4">IF(B5&lt;M$3,0,B5-1950000)</f>
        <v>0</v>
      </c>
      <c r="O5" s="211">
        <f t="shared" ref="O5:O14" si="5">SUM(D5:N5)</f>
        <v>0</v>
      </c>
      <c r="P5" s="13"/>
      <c r="Q5" s="27" t="s">
        <v>45</v>
      </c>
      <c r="R5" s="151">
        <f>概算シート!I6</f>
        <v>0</v>
      </c>
      <c r="S5" s="152">
        <f>C5+概算シート!K6</f>
        <v>0</v>
      </c>
      <c r="T5" s="151">
        <f>IF(S5&gt;20000000,3,IF(S5&gt;10000000,2,1))</f>
        <v>1</v>
      </c>
      <c r="U5" s="20">
        <f>IF(R5&gt;0,AN5,0)</f>
        <v>0</v>
      </c>
      <c r="V5" s="21">
        <v>0</v>
      </c>
      <c r="W5" s="22">
        <f>IF($T5=1,IF($R5&lt;W$3,IF($R5&lt;V$3,0,$R5-600000),0),0)</f>
        <v>0</v>
      </c>
      <c r="X5" s="22">
        <f>IF($T5=1,IF($R5&lt;X$3,IF($R5&lt;W$3,0,TRUNC($R5*0.75-275000)),0),0)</f>
        <v>0</v>
      </c>
      <c r="Y5" s="22">
        <f>IF($T5=1,IF($R5&lt;Y$3,IF($R5&lt;X$3,0,TRUNC($R5*0.85-685000)),0),0)</f>
        <v>0</v>
      </c>
      <c r="Z5" s="22">
        <f>IF($T5=1,IF($R5&lt;Z$3,IF($R5&lt;Y$3,0,TRUNC($R5*0.95-1455000)),0),0)</f>
        <v>0</v>
      </c>
      <c r="AA5" s="23">
        <f>IF($T5=1,IF($R5&gt;Z$3-1,$R5-1955000,0),0)</f>
        <v>0</v>
      </c>
      <c r="AB5" s="21">
        <v>0</v>
      </c>
      <c r="AC5" s="22">
        <f>IF($T5=2,IF($R5&lt;AC$3,IF($R5&lt;AB$3,0,$R5-500000),0),0)</f>
        <v>0</v>
      </c>
      <c r="AD5" s="22">
        <f>IF($T5=2,IF($R5&lt;AD$3,IF($R5&lt;AC$3,0,TRUNC($R5*0.75-175000)),0),0)</f>
        <v>0</v>
      </c>
      <c r="AE5" s="22">
        <f>IF($T5=2,IF($R5&lt;AE$3,IF($R5&lt;AD$3,0,TRUNC($R5*0.85-585000)),0),0)</f>
        <v>0</v>
      </c>
      <c r="AF5" s="22">
        <f>IF($T5=2,IF($R5&lt;AF$3,IF($R5&lt;AE$3,0,TRUNC($R5*0.95-1355000)),0),0)</f>
        <v>0</v>
      </c>
      <c r="AG5" s="23">
        <f>IF($T5=2,IF($R5&gt;AF$3-1,$R5-1855000,0),0)</f>
        <v>0</v>
      </c>
      <c r="AH5" s="21">
        <v>0</v>
      </c>
      <c r="AI5" s="22">
        <f>IF($T5=3,IF($R5&lt;AI$3,IF($R5&lt;AH$3,0,$R5-400000),0),0)</f>
        <v>0</v>
      </c>
      <c r="AJ5" s="22">
        <f>IF($T5=3,IF($R5&lt;AJ$3,IF($R5&lt;AI$3,0,TRUNC($R5*0.75-75000)),0),0)</f>
        <v>0</v>
      </c>
      <c r="AK5" s="22">
        <f>IF($T5=3,IF($R5&lt;AK$3,IF($R5&lt;AJ$3,0,TRUNC($R5*0.85-485000)),0),0)</f>
        <v>0</v>
      </c>
      <c r="AL5" s="22">
        <f>IF($T5=3,IF($R5&lt;AL$3,IF($R5&lt;AK$3,0,TRUNC($R5*0.95-1255000)),0),0)</f>
        <v>0</v>
      </c>
      <c r="AM5" s="23">
        <f>IF($T5=3,IF($R5&gt;AL$3-1,$R5-1755000,0),0)</f>
        <v>0</v>
      </c>
      <c r="AN5" s="24">
        <f>SUM(V5:AM5)</f>
        <v>0</v>
      </c>
      <c r="AO5" s="25">
        <f>IF(R5&gt;0,BH5,0)</f>
        <v>0</v>
      </c>
      <c r="AP5" s="26">
        <v>0</v>
      </c>
      <c r="AQ5" s="27">
        <f>IF($T5=1,IF($R5&lt;AQ$3,IF($R5&lt;AP$3,0,$R5-1100000),0),0)</f>
        <v>0</v>
      </c>
      <c r="AR5" s="27">
        <f>IF($T5=1,IF($R5&lt;AR$3,IF($R5&lt;AQ$3,0,TRUNC($R5*0.75-275000)),0),0)</f>
        <v>0</v>
      </c>
      <c r="AS5" s="27">
        <f>IF($T5=1,IF($R5&lt;AS$3,IF($R5&lt;AR$3,0,TRUNC($R5*0.85-685000)),0),0)</f>
        <v>0</v>
      </c>
      <c r="AT5" s="27">
        <f>IF($T5=1,IF($R5&lt;AT$3,IF($R5&lt;AS$3,0,TRUNC($R5*0.95-1455000)),0),0)</f>
        <v>0</v>
      </c>
      <c r="AU5" s="28">
        <f>IF($T5=1,IF($R5&gt;AU$3-1,$R5-1955000,0),0)</f>
        <v>0</v>
      </c>
      <c r="AV5" s="26">
        <v>0</v>
      </c>
      <c r="AW5" s="27">
        <f>IF($T5=2,IF($R5&lt;AW$3,IF($R5&lt;AV$3,0,$R5-1000000),0),0)</f>
        <v>0</v>
      </c>
      <c r="AX5" s="27">
        <f>IF($T5=2,IF($R5&lt;AX$3,IF($R5&lt;AW$3,0,TRUNC($R5*0.75-175000)),0),0)</f>
        <v>0</v>
      </c>
      <c r="AY5" s="27">
        <f>IF($T5=2,IF($R5&lt;AY$3,IF($R5&lt;AX$3,0,TRUNC($R5*0.85-585000)),0),0)</f>
        <v>0</v>
      </c>
      <c r="AZ5" s="27">
        <f>IF($T5=2,IF($R5&lt;AZ$3,IF($R5&lt;AY$3,0,TRUNC($R5*0.95-1355000)),0),0)</f>
        <v>0</v>
      </c>
      <c r="BA5" s="28">
        <f>IF($T5=2,IF($R5&gt;BA$3-1,$R5-1855000,0),0)</f>
        <v>0</v>
      </c>
      <c r="BB5" s="26">
        <v>0</v>
      </c>
      <c r="BC5" s="27">
        <f>IF($T5=3,IF($R5&lt;BC$3,IF($R5&lt;BB$3,0,$R5-900000),0),0)</f>
        <v>0</v>
      </c>
      <c r="BD5" s="27">
        <f>IF($T5=3,IF($R5&lt;BD$3,IF($R5&lt;BC$3,0,TRUNC($R5*0.75-75000)),0),0)</f>
        <v>0</v>
      </c>
      <c r="BE5" s="27">
        <f>IF($T5=3,IF($R5&lt;BE$3,IF($R5&lt;BD$3,0,TRUNC($R5*0.85-485000)),0),0)</f>
        <v>0</v>
      </c>
      <c r="BF5" s="27">
        <f>IF($T5=3,IF($R5&lt;BF$3,IF($R5&lt;BE$3,0,TRUNC($R5*0.95-1255000)),0),0)</f>
        <v>0</v>
      </c>
      <c r="BG5" s="28">
        <f>IF($T5=3,IF($R5&gt;BG$3-1,$R5-1755000,0),0)</f>
        <v>0</v>
      </c>
      <c r="BH5" s="29">
        <f>SUM(AP5:BG5)</f>
        <v>0</v>
      </c>
      <c r="BJ5" s="27" t="s">
        <v>45</v>
      </c>
      <c r="BK5" s="42">
        <f>IF(AND(C5&gt;0,U5&gt;0,C5+U5&gt;100000),IF(C5+U5&gt;200000,100000,C5+U5-100000),0)</f>
        <v>0</v>
      </c>
      <c r="BL5" s="42">
        <f>IF(C5&gt;BK5,BK5,C5)</f>
        <v>0</v>
      </c>
      <c r="BM5" s="42">
        <f>IF(AND(C5&gt;0,AO5&gt;0,C5+AO5&gt;100000),IF(C5+AO5&gt;200000,100000,C5+AO5-100000),0)</f>
        <v>0</v>
      </c>
      <c r="BN5" s="42">
        <f>IF(C5&gt;BM5,BM5,C5)</f>
        <v>0</v>
      </c>
      <c r="BP5" s="43">
        <f>税率!C44</f>
        <v>0</v>
      </c>
      <c r="BQ5" s="42">
        <f>IF(BP5=0,C5-BL5,C5-BN5)</f>
        <v>0</v>
      </c>
      <c r="BR5" s="44">
        <f>IF(BP5=0,U5,AO5)</f>
        <v>0</v>
      </c>
    </row>
    <row r="6" spans="1:70" x14ac:dyDescent="0.2">
      <c r="A6" s="27" t="s">
        <v>9</v>
      </c>
      <c r="B6" s="150">
        <f>概算シート!G7</f>
        <v>0</v>
      </c>
      <c r="C6" s="30">
        <f>IF($B6&gt;0,$O6,0)</f>
        <v>0</v>
      </c>
      <c r="D6" s="210"/>
      <c r="E6" s="211"/>
      <c r="F6" s="211"/>
      <c r="G6" s="211"/>
      <c r="H6" s="211"/>
      <c r="I6" s="211"/>
      <c r="J6" s="211">
        <f t="shared" si="0"/>
        <v>0</v>
      </c>
      <c r="K6" s="211">
        <f t="shared" si="1"/>
        <v>0</v>
      </c>
      <c r="L6" s="211">
        <f t="shared" si="2"/>
        <v>0</v>
      </c>
      <c r="M6" s="211">
        <f t="shared" si="3"/>
        <v>0</v>
      </c>
      <c r="N6" s="211">
        <f t="shared" si="4"/>
        <v>0</v>
      </c>
      <c r="O6" s="211">
        <f t="shared" si="5"/>
        <v>0</v>
      </c>
      <c r="P6" s="13"/>
      <c r="Q6" s="27" t="s">
        <v>9</v>
      </c>
      <c r="R6" s="151">
        <f>概算シート!I7</f>
        <v>0</v>
      </c>
      <c r="S6" s="152">
        <f>C6+概算シート!K7</f>
        <v>0</v>
      </c>
      <c r="T6" s="151">
        <f t="shared" ref="T6:T14" si="6">IF(S6&gt;20000000,3,IF(S6&gt;10000000,2,1))</f>
        <v>1</v>
      </c>
      <c r="U6" s="20">
        <f>IF(R6&gt;0,AN6,0)</f>
        <v>0</v>
      </c>
      <c r="V6" s="21">
        <v>0</v>
      </c>
      <c r="W6" s="22">
        <f t="shared" ref="W6:W8" si="7">IF($T6=1,IF($R6&lt;W$3,IF($R6&lt;V$3,0,$R6-600000),0),0)</f>
        <v>0</v>
      </c>
      <c r="X6" s="22">
        <f t="shared" ref="X6:X8" si="8">IF($T6=1,IF($R6&lt;X$3,IF($R6&lt;W$3,0,TRUNC($R6*0.75-275000)),0),0)</f>
        <v>0</v>
      </c>
      <c r="Y6" s="22">
        <f t="shared" ref="Y6:Y8" si="9">IF($T6=1,IF($R6&lt;Y$3,IF($R6&lt;X$3,0,TRUNC($R6*0.85-685000)),0),0)</f>
        <v>0</v>
      </c>
      <c r="Z6" s="22">
        <f t="shared" ref="Z6:Z8" si="10">IF($T6=1,IF($R6&lt;Z$3,IF($R6&lt;Y$3,0,TRUNC($R6*0.95-1455000)),0),0)</f>
        <v>0</v>
      </c>
      <c r="AA6" s="23">
        <f t="shared" ref="AA6:AA8" si="11">IF($T6=1,IF($R6&gt;Z$3-1,$R6-1955000,0),0)</f>
        <v>0</v>
      </c>
      <c r="AB6" s="21">
        <v>0</v>
      </c>
      <c r="AC6" s="22">
        <f t="shared" ref="AC6:AC8" si="12">IF($T6=2,IF($R6&lt;AC$3,IF($R6&lt;AB$3,0,$R6-500000),0),0)</f>
        <v>0</v>
      </c>
      <c r="AD6" s="22">
        <f t="shared" ref="AD6:AD8" si="13">IF($T6=2,IF($R6&lt;AD$3,IF($R6&lt;AC$3,0,TRUNC($R6*0.75-175000)),0),0)</f>
        <v>0</v>
      </c>
      <c r="AE6" s="22">
        <f t="shared" ref="AE6:AE8" si="14">IF($T6=2,IF($R6&lt;AE$3,IF($R6&lt;AD$3,0,TRUNC($R6*0.85-585000)),0),0)</f>
        <v>0</v>
      </c>
      <c r="AF6" s="22">
        <f t="shared" ref="AF6:AF8" si="15">IF($T6=2,IF($R6&lt;AF$3,IF($R6&lt;AE$3,0,TRUNC($R6*0.95-1355000)),0),0)</f>
        <v>0</v>
      </c>
      <c r="AG6" s="23">
        <f t="shared" ref="AG6:AG8" si="16">IF($T6=2,IF($R6&gt;AF$3-1,$R6-1855000,0),0)</f>
        <v>0</v>
      </c>
      <c r="AH6" s="21">
        <v>0</v>
      </c>
      <c r="AI6" s="22">
        <f>IF($T6=3,IF($R6&lt;AI$3,IF($R6&lt;AH$3,0,$R6-400000),0),0)</f>
        <v>0</v>
      </c>
      <c r="AJ6" s="22">
        <f>IF($T6=3,IF($R6&lt;AJ$3,IF($R6&lt;AI$3,0,TRUNC($R6*0.75-75000)),0),0)</f>
        <v>0</v>
      </c>
      <c r="AK6" s="22">
        <f>IF($T6=3,IF($R6&lt;AK$3,IF($R6&lt;AJ$3,0,TRUNC($R6*0.85-485000)),0),0)</f>
        <v>0</v>
      </c>
      <c r="AL6" s="22">
        <f>IF($T6=3,IF($R6&lt;AL$3,IF($R6&lt;AK$3,0,TRUNC($R6*0.95-1255000)),0),0)</f>
        <v>0</v>
      </c>
      <c r="AM6" s="23">
        <f>IF($T6=3,IF($R6&gt;AL$3-1,$R6-1755000,0),0)</f>
        <v>0</v>
      </c>
      <c r="AN6" s="24">
        <f t="shared" ref="AN6:AN14" si="17">SUM(V6:AM6)</f>
        <v>0</v>
      </c>
      <c r="AO6" s="25">
        <f>IF(R6&gt;0,BH6,0)</f>
        <v>0</v>
      </c>
      <c r="AP6" s="26">
        <v>0</v>
      </c>
      <c r="AQ6" s="27">
        <f>IF($T6=1,IF($R6&lt;AQ$3,IF($R6&lt;AP$3,0,$R6-1100000),0),0)</f>
        <v>0</v>
      </c>
      <c r="AR6" s="27">
        <f>IF($T6=1,IF($R6&lt;AR$3,IF($R6&lt;AQ$3,0,TRUNC($R6*0.75-275000)),0),0)</f>
        <v>0</v>
      </c>
      <c r="AS6" s="27">
        <f>IF($T6=1,IF($R6&lt;AS$3,IF($R6&lt;AR$3,0,TRUNC($R6*0.85-685000)),0),0)</f>
        <v>0</v>
      </c>
      <c r="AT6" s="27">
        <f>IF($T6=1,IF($R6&lt;AT$3,IF($R6&lt;AS$3,0,TRUNC($R6*0.95-1455000)),0),0)</f>
        <v>0</v>
      </c>
      <c r="AU6" s="28">
        <f>IF($T6=1,IF($R6&gt;AU$3-1,$R6-1955000,0),0)</f>
        <v>0</v>
      </c>
      <c r="AV6" s="26">
        <v>0</v>
      </c>
      <c r="AW6" s="27">
        <f t="shared" ref="AW6:AW8" si="18">IF($T6=2,IF($R6&lt;AW$3,IF($R6&lt;AV$3,0,$R6-1000000),0),0)</f>
        <v>0</v>
      </c>
      <c r="AX6" s="27">
        <f t="shared" ref="AX6:AX8" si="19">IF($T6=2,IF($R6&lt;AX$3,IF($R6&lt;AW$3,0,TRUNC($R6*0.75-175000)),0),0)</f>
        <v>0</v>
      </c>
      <c r="AY6" s="27">
        <f t="shared" ref="AY6:AY8" si="20">IF($T6=2,IF($R6&lt;AY$3,IF($R6&lt;AX$3,0,TRUNC($R6*0.85-585000)),0),0)</f>
        <v>0</v>
      </c>
      <c r="AZ6" s="27">
        <f t="shared" ref="AZ6:AZ8" si="21">IF($T6=2,IF($R6&lt;AZ$3,IF($R6&lt;AY$3,0,TRUNC($R6*0.95-1355000)),0),0)</f>
        <v>0</v>
      </c>
      <c r="BA6" s="28">
        <f t="shared" ref="BA6:BA14" si="22">IF($T6=2,IF($R6&gt;BA$3-1,$R6-1855000,0),0)</f>
        <v>0</v>
      </c>
      <c r="BB6" s="26">
        <v>0</v>
      </c>
      <c r="BC6" s="27">
        <f>IF($T6=3,IF($R6&lt;BC$3,IF($R6&lt;BB$3,0,$R6-900000),0),0)</f>
        <v>0</v>
      </c>
      <c r="BD6" s="27">
        <f>IF($T6=3,IF($R6&lt;BD$3,IF($R6&lt;BC$3,0,TRUNC($R6*0.75-75000)),0),0)</f>
        <v>0</v>
      </c>
      <c r="BE6" s="27">
        <f>IF($T6=3,IF($R6&lt;BE$3,IF($R6&lt;BD$3,0,TRUNC($R6*0.85-485000)),0),0)</f>
        <v>0</v>
      </c>
      <c r="BF6" s="27">
        <f>IF($T6=3,IF($R6&lt;BF$3,IF($R6&lt;BE$3,0,TRUNC($R6*0.95-1255000)),0),0)</f>
        <v>0</v>
      </c>
      <c r="BG6" s="28">
        <f>IF($T6=3,IF($R6&gt;BG$3-1,$R6-1755000,0),0)</f>
        <v>0</v>
      </c>
      <c r="BH6" s="29">
        <f t="shared" ref="BH6:BH9" si="23">SUM(AP6:BG6)</f>
        <v>0</v>
      </c>
      <c r="BJ6" s="27" t="s">
        <v>9</v>
      </c>
      <c r="BK6" s="42">
        <f t="shared" ref="BK6:BK14" si="24">IF(AND(C6&gt;0,U6&gt;0,C6+U6&gt;100000),IF(C6+U6&gt;200000,100000,C6+U6-100000),0)</f>
        <v>0</v>
      </c>
      <c r="BL6" s="42">
        <f t="shared" ref="BL6:BL14" si="25">IF(C6&gt;BK6,BK6,C6)</f>
        <v>0</v>
      </c>
      <c r="BM6" s="42">
        <f t="shared" ref="BM6:BM14" si="26">IF(AND(C6&gt;0,AO6&gt;0,C6+AO6&gt;100000),IF(C6+AO6&gt;200000,100000,C6+AO6-100000),0)</f>
        <v>0</v>
      </c>
      <c r="BN6" s="42">
        <f t="shared" ref="BN6:BN14" si="27">IF(C6&gt;BM6,BM6,C6)</f>
        <v>0</v>
      </c>
      <c r="BP6" s="43">
        <f>税率!C45</f>
        <v>0</v>
      </c>
      <c r="BQ6" s="42">
        <f t="shared" ref="BQ6:BQ14" si="28">IF(BP6=0,C6-BL6,C6-BN6)</f>
        <v>0</v>
      </c>
      <c r="BR6" s="44">
        <f t="shared" ref="BR6:BR14" si="29">IF(BP6=0,U6,AO6)</f>
        <v>0</v>
      </c>
    </row>
    <row r="7" spans="1:70" x14ac:dyDescent="0.2">
      <c r="A7" s="27" t="s">
        <v>10</v>
      </c>
      <c r="B7" s="150">
        <f>概算シート!G8</f>
        <v>0</v>
      </c>
      <c r="C7" s="30">
        <f>IF($B7&gt;0,$O7,0)</f>
        <v>0</v>
      </c>
      <c r="D7" s="210"/>
      <c r="E7" s="211"/>
      <c r="F7" s="211"/>
      <c r="G7" s="211"/>
      <c r="H7" s="211"/>
      <c r="I7" s="211"/>
      <c r="J7" s="211">
        <f t="shared" si="0"/>
        <v>0</v>
      </c>
      <c r="K7" s="211">
        <f t="shared" si="1"/>
        <v>0</v>
      </c>
      <c r="L7" s="211">
        <f t="shared" si="2"/>
        <v>0</v>
      </c>
      <c r="M7" s="211">
        <f t="shared" si="3"/>
        <v>0</v>
      </c>
      <c r="N7" s="211">
        <f t="shared" si="4"/>
        <v>0</v>
      </c>
      <c r="O7" s="211">
        <f t="shared" si="5"/>
        <v>0</v>
      </c>
      <c r="P7" s="13"/>
      <c r="Q7" s="27" t="s">
        <v>10</v>
      </c>
      <c r="R7" s="151">
        <f>概算シート!I8</f>
        <v>0</v>
      </c>
      <c r="S7" s="152">
        <f>C7+概算シート!K8</f>
        <v>0</v>
      </c>
      <c r="T7" s="151">
        <f t="shared" si="6"/>
        <v>1</v>
      </c>
      <c r="U7" s="20">
        <f>IF(R7&gt;0,AN7,0)</f>
        <v>0</v>
      </c>
      <c r="V7" s="21">
        <v>0</v>
      </c>
      <c r="W7" s="22">
        <f t="shared" si="7"/>
        <v>0</v>
      </c>
      <c r="X7" s="22">
        <f t="shared" si="8"/>
        <v>0</v>
      </c>
      <c r="Y7" s="22">
        <f t="shared" si="9"/>
        <v>0</v>
      </c>
      <c r="Z7" s="22">
        <f t="shared" si="10"/>
        <v>0</v>
      </c>
      <c r="AA7" s="23">
        <f t="shared" si="11"/>
        <v>0</v>
      </c>
      <c r="AB7" s="21">
        <v>0</v>
      </c>
      <c r="AC7" s="22">
        <f t="shared" si="12"/>
        <v>0</v>
      </c>
      <c r="AD7" s="22">
        <f t="shared" si="13"/>
        <v>0</v>
      </c>
      <c r="AE7" s="22">
        <f t="shared" si="14"/>
        <v>0</v>
      </c>
      <c r="AF7" s="22">
        <f t="shared" si="15"/>
        <v>0</v>
      </c>
      <c r="AG7" s="23">
        <f t="shared" si="16"/>
        <v>0</v>
      </c>
      <c r="AH7" s="21">
        <v>0</v>
      </c>
      <c r="AI7" s="22">
        <f>IF($T7=3,IF($R7&lt;AI$3,IF($R7&lt;AH$3,0,$R7-400000),0),0)</f>
        <v>0</v>
      </c>
      <c r="AJ7" s="22">
        <f>IF($T7=3,IF($R7&lt;AJ$3,IF($R7&lt;AI$3,0,TRUNC($R7*0.75-75000)),0),0)</f>
        <v>0</v>
      </c>
      <c r="AK7" s="22">
        <f>IF($T7=3,IF($R7&lt;AK$3,IF($R7&lt;AJ$3,0,TRUNC($R7*0.85-485000)),0),0)</f>
        <v>0</v>
      </c>
      <c r="AL7" s="22">
        <f>IF($T7=3,IF($R7&lt;AL$3,IF($R7&lt;AK$3,0,TRUNC($R7*0.95-1255000)),0),0)</f>
        <v>0</v>
      </c>
      <c r="AM7" s="23">
        <f>IF($T7=3,IF($R7&gt;AL$3-1,$R7-1755000,0),0)</f>
        <v>0</v>
      </c>
      <c r="AN7" s="24">
        <f t="shared" si="17"/>
        <v>0</v>
      </c>
      <c r="AO7" s="25">
        <f>IF(R7&gt;0,BH7,0)</f>
        <v>0</v>
      </c>
      <c r="AP7" s="26">
        <v>0</v>
      </c>
      <c r="AQ7" s="27">
        <f>IF($T7=1,IF($R7&lt;AQ$3,IF($R7&lt;AP$3,0,$R7-1100000),0),0)</f>
        <v>0</v>
      </c>
      <c r="AR7" s="27">
        <f>IF($T7=1,IF($R7&lt;AR$3,IF($R7&lt;AQ$3,0,TRUNC($R7*0.75-275000)),0),0)</f>
        <v>0</v>
      </c>
      <c r="AS7" s="27">
        <f>IF($T7=1,IF($R7&lt;AS$3,IF($R7&lt;AR$3,0,TRUNC($R7*0.85-685000)),0),0)</f>
        <v>0</v>
      </c>
      <c r="AT7" s="27">
        <f>IF($T7=1,IF($R7&lt;AT$3,IF($R7&lt;AS$3,0,TRUNC($R7*0.95-1455000)),0),0)</f>
        <v>0</v>
      </c>
      <c r="AU7" s="28">
        <f>IF($T7=1,IF($R7&gt;AU$3-1,$R7-1955000,0),0)</f>
        <v>0</v>
      </c>
      <c r="AV7" s="26">
        <v>0</v>
      </c>
      <c r="AW7" s="27">
        <f t="shared" si="18"/>
        <v>0</v>
      </c>
      <c r="AX7" s="27">
        <f t="shared" si="19"/>
        <v>0</v>
      </c>
      <c r="AY7" s="27">
        <f t="shared" si="20"/>
        <v>0</v>
      </c>
      <c r="AZ7" s="27">
        <f t="shared" si="21"/>
        <v>0</v>
      </c>
      <c r="BA7" s="28">
        <f t="shared" si="22"/>
        <v>0</v>
      </c>
      <c r="BB7" s="26">
        <v>0</v>
      </c>
      <c r="BC7" s="27">
        <f>IF($T7=3,IF($R7&lt;BC$3,IF($R7&lt;BB$3,0,$R7-900000),0),0)</f>
        <v>0</v>
      </c>
      <c r="BD7" s="27">
        <f>IF($T7=3,IF($R7&lt;BD$3,IF($R7&lt;BC$3,0,TRUNC($R7*0.75-75000)),0),0)</f>
        <v>0</v>
      </c>
      <c r="BE7" s="27">
        <f>IF($T7=3,IF($R7&lt;BE$3,IF($R7&lt;BD$3,0,TRUNC($R7*0.85-485000)),0),0)</f>
        <v>0</v>
      </c>
      <c r="BF7" s="27">
        <f>IF($T7=3,IF($R7&lt;BF$3,IF($R7&lt;BE$3,0,TRUNC($R7*0.95-1255000)),0),0)</f>
        <v>0</v>
      </c>
      <c r="BG7" s="28">
        <f>IF($T7=3,IF($R7&gt;BG$3-1,$R7-1755000,0),0)</f>
        <v>0</v>
      </c>
      <c r="BH7" s="29">
        <f t="shared" si="23"/>
        <v>0</v>
      </c>
      <c r="BJ7" s="27" t="s">
        <v>10</v>
      </c>
      <c r="BK7" s="42">
        <f t="shared" si="24"/>
        <v>0</v>
      </c>
      <c r="BL7" s="42">
        <f t="shared" si="25"/>
        <v>0</v>
      </c>
      <c r="BM7" s="42">
        <f t="shared" si="26"/>
        <v>0</v>
      </c>
      <c r="BN7" s="42">
        <f t="shared" si="27"/>
        <v>0</v>
      </c>
      <c r="BP7" s="43">
        <f>税率!C46</f>
        <v>0</v>
      </c>
      <c r="BQ7" s="42">
        <f t="shared" si="28"/>
        <v>0</v>
      </c>
      <c r="BR7" s="44">
        <f t="shared" si="29"/>
        <v>0</v>
      </c>
    </row>
    <row r="8" spans="1:70" x14ac:dyDescent="0.2">
      <c r="A8" s="27" t="s">
        <v>11</v>
      </c>
      <c r="B8" s="150">
        <f>概算シート!G9</f>
        <v>0</v>
      </c>
      <c r="C8" s="30">
        <f>IF($B8&gt;0,$O8,0)</f>
        <v>0</v>
      </c>
      <c r="D8" s="210"/>
      <c r="E8" s="211"/>
      <c r="F8" s="211"/>
      <c r="G8" s="211"/>
      <c r="H8" s="211"/>
      <c r="I8" s="211"/>
      <c r="J8" s="211">
        <f t="shared" si="0"/>
        <v>0</v>
      </c>
      <c r="K8" s="211">
        <f t="shared" si="1"/>
        <v>0</v>
      </c>
      <c r="L8" s="211">
        <f t="shared" si="2"/>
        <v>0</v>
      </c>
      <c r="M8" s="211">
        <f t="shared" si="3"/>
        <v>0</v>
      </c>
      <c r="N8" s="211">
        <f t="shared" si="4"/>
        <v>0</v>
      </c>
      <c r="O8" s="211">
        <f t="shared" si="5"/>
        <v>0</v>
      </c>
      <c r="P8" s="13"/>
      <c r="Q8" s="27" t="s">
        <v>11</v>
      </c>
      <c r="R8" s="151">
        <f>概算シート!I9</f>
        <v>0</v>
      </c>
      <c r="S8" s="152">
        <f>C8+概算シート!K9</f>
        <v>0</v>
      </c>
      <c r="T8" s="151">
        <f t="shared" si="6"/>
        <v>1</v>
      </c>
      <c r="U8" s="20">
        <f>IF(R8&gt;0,AN8,0)</f>
        <v>0</v>
      </c>
      <c r="V8" s="21">
        <v>0</v>
      </c>
      <c r="W8" s="22">
        <f t="shared" si="7"/>
        <v>0</v>
      </c>
      <c r="X8" s="22">
        <f t="shared" si="8"/>
        <v>0</v>
      </c>
      <c r="Y8" s="22">
        <f t="shared" si="9"/>
        <v>0</v>
      </c>
      <c r="Z8" s="22">
        <f t="shared" si="10"/>
        <v>0</v>
      </c>
      <c r="AA8" s="23">
        <f t="shared" si="11"/>
        <v>0</v>
      </c>
      <c r="AB8" s="21">
        <v>0</v>
      </c>
      <c r="AC8" s="22">
        <f t="shared" si="12"/>
        <v>0</v>
      </c>
      <c r="AD8" s="22">
        <f t="shared" si="13"/>
        <v>0</v>
      </c>
      <c r="AE8" s="22">
        <f t="shared" si="14"/>
        <v>0</v>
      </c>
      <c r="AF8" s="22">
        <f t="shared" si="15"/>
        <v>0</v>
      </c>
      <c r="AG8" s="23">
        <f t="shared" si="16"/>
        <v>0</v>
      </c>
      <c r="AH8" s="21">
        <v>0</v>
      </c>
      <c r="AI8" s="22">
        <f t="shared" ref="AI8:AI14" si="30">IF($T8=3,IF($R8&lt;AI$3,IF($R8&lt;AH$3,0,$R8-400000),0),0)</f>
        <v>0</v>
      </c>
      <c r="AJ8" s="22">
        <f t="shared" ref="AJ8:AJ14" si="31">IF($T8=3,IF($R8&lt;AJ$3,IF($R8&lt;AI$3,0,TRUNC($R8*0.75-75000)),0),0)</f>
        <v>0</v>
      </c>
      <c r="AK8" s="22">
        <f t="shared" ref="AK8:AK14" si="32">IF($T8=3,IF($R8&lt;AK$3,IF($R8&lt;AJ$3,0,TRUNC($R8*0.85-485000)),0),0)</f>
        <v>0</v>
      </c>
      <c r="AL8" s="22">
        <f t="shared" ref="AL8:AL14" si="33">IF($T8=3,IF($R8&lt;AL$3,IF($R8&lt;AK$3,0,TRUNC($R8*0.95-1255000)),0),0)</f>
        <v>0</v>
      </c>
      <c r="AM8" s="23">
        <f t="shared" ref="AM8:AM14" si="34">IF($T8=3,IF($R8&gt;AL$3-1,$R8-1755000,0),0)</f>
        <v>0</v>
      </c>
      <c r="AN8" s="24">
        <f t="shared" si="17"/>
        <v>0</v>
      </c>
      <c r="AO8" s="25">
        <f>IF(R8&gt;0,BH8,0)</f>
        <v>0</v>
      </c>
      <c r="AP8" s="26">
        <v>0</v>
      </c>
      <c r="AQ8" s="27">
        <f t="shared" ref="AQ8:AQ14" si="35">IF($T8=1,IF($R8&lt;AQ$3,IF($R8&lt;AP$3,0,$R8-1100000),0),0)</f>
        <v>0</v>
      </c>
      <c r="AR8" s="27">
        <f t="shared" ref="AR8:AR14" si="36">IF($T8=1,IF($R8&lt;AR$3,IF($R8&lt;AQ$3,0,TRUNC($R8*0.75-275000)),0),0)</f>
        <v>0</v>
      </c>
      <c r="AS8" s="27">
        <f t="shared" ref="AS8:AS14" si="37">IF($T8=1,IF($R8&lt;AS$3,IF($R8&lt;AR$3,0,TRUNC($R8*0.85-685000)),0),0)</f>
        <v>0</v>
      </c>
      <c r="AT8" s="27">
        <f t="shared" ref="AT8:AT14" si="38">IF($T8=1,IF($R8&lt;AT$3,IF($R8&lt;AS$3,0,TRUNC($R8*0.95-1455000)),0),0)</f>
        <v>0</v>
      </c>
      <c r="AU8" s="28">
        <f t="shared" ref="AU8:AU14" si="39">IF($T8=1,IF($R8&gt;AU$3-1,$R8-1955000,0),0)</f>
        <v>0</v>
      </c>
      <c r="AV8" s="26">
        <v>0</v>
      </c>
      <c r="AW8" s="27">
        <f t="shared" si="18"/>
        <v>0</v>
      </c>
      <c r="AX8" s="27">
        <f t="shared" si="19"/>
        <v>0</v>
      </c>
      <c r="AY8" s="27">
        <f t="shared" si="20"/>
        <v>0</v>
      </c>
      <c r="AZ8" s="27">
        <f t="shared" si="21"/>
        <v>0</v>
      </c>
      <c r="BA8" s="28">
        <f t="shared" si="22"/>
        <v>0</v>
      </c>
      <c r="BB8" s="26">
        <v>0</v>
      </c>
      <c r="BC8" s="27">
        <f t="shared" ref="BC8:BC14" si="40">IF($T8=3,IF($R8&lt;BC$3,IF($R8&lt;BB$3,0,$R8-900000),0),0)</f>
        <v>0</v>
      </c>
      <c r="BD8" s="27">
        <f t="shared" ref="BD8:BD14" si="41">IF($T8=3,IF($R8&lt;BD$3,IF($R8&lt;BC$3,0,TRUNC($R8*0.75-75000)),0),0)</f>
        <v>0</v>
      </c>
      <c r="BE8" s="27">
        <f t="shared" ref="BE8:BE14" si="42">IF($T8=3,IF($R8&lt;BE$3,IF($R8&lt;BD$3,0,TRUNC($R8*0.85-485000)),0),0)</f>
        <v>0</v>
      </c>
      <c r="BF8" s="27">
        <f t="shared" ref="BF8:BF14" si="43">IF($T8=3,IF($R8&lt;BF$3,IF($R8&lt;BE$3,0,TRUNC($R8*0.95-1255000)),0),0)</f>
        <v>0</v>
      </c>
      <c r="BG8" s="28">
        <f t="shared" ref="BG8:BG14" si="44">IF($T8=3,IF($R8&gt;BG$3-1,$R8-1755000,0),0)</f>
        <v>0</v>
      </c>
      <c r="BH8" s="29">
        <f t="shared" si="23"/>
        <v>0</v>
      </c>
      <c r="BJ8" s="27" t="s">
        <v>11</v>
      </c>
      <c r="BK8" s="42">
        <f t="shared" si="24"/>
        <v>0</v>
      </c>
      <c r="BL8" s="42">
        <f t="shared" si="25"/>
        <v>0</v>
      </c>
      <c r="BM8" s="42">
        <f t="shared" si="26"/>
        <v>0</v>
      </c>
      <c r="BN8" s="42">
        <f t="shared" si="27"/>
        <v>0</v>
      </c>
      <c r="BP8" s="43">
        <f>税率!C47</f>
        <v>0</v>
      </c>
      <c r="BQ8" s="42">
        <f t="shared" si="28"/>
        <v>0</v>
      </c>
      <c r="BR8" s="44">
        <f t="shared" si="29"/>
        <v>0</v>
      </c>
    </row>
    <row r="9" spans="1:70" x14ac:dyDescent="0.2">
      <c r="A9" s="27" t="s">
        <v>12</v>
      </c>
      <c r="B9" s="150">
        <f>概算シート!G10</f>
        <v>0</v>
      </c>
      <c r="C9" s="30">
        <f>IF($B9&gt;0,$O9,0)</f>
        <v>0</v>
      </c>
      <c r="D9" s="210"/>
      <c r="E9" s="211"/>
      <c r="F9" s="211"/>
      <c r="G9" s="211"/>
      <c r="H9" s="211"/>
      <c r="I9" s="211"/>
      <c r="J9" s="211">
        <f t="shared" si="0"/>
        <v>0</v>
      </c>
      <c r="K9" s="211">
        <f t="shared" si="1"/>
        <v>0</v>
      </c>
      <c r="L9" s="211">
        <f t="shared" si="2"/>
        <v>0</v>
      </c>
      <c r="M9" s="211">
        <f t="shared" si="3"/>
        <v>0</v>
      </c>
      <c r="N9" s="211">
        <f t="shared" si="4"/>
        <v>0</v>
      </c>
      <c r="O9" s="211">
        <f t="shared" si="5"/>
        <v>0</v>
      </c>
      <c r="P9" s="13"/>
      <c r="Q9" s="27" t="s">
        <v>12</v>
      </c>
      <c r="R9" s="151">
        <f>概算シート!I10</f>
        <v>0</v>
      </c>
      <c r="S9" s="152">
        <f>C9+概算シート!K10</f>
        <v>0</v>
      </c>
      <c r="T9" s="151">
        <f t="shared" si="6"/>
        <v>1</v>
      </c>
      <c r="U9" s="20">
        <f>IF(R9&gt;0,AN9,0)</f>
        <v>0</v>
      </c>
      <c r="V9" s="21">
        <v>0</v>
      </c>
      <c r="W9" s="22">
        <f t="shared" ref="W9:W14" si="45">IF($T9=1,IF($R9&lt;W$3,IF($R9&lt;V$3,0,$R9-600000),0),0)</f>
        <v>0</v>
      </c>
      <c r="X9" s="22">
        <f t="shared" ref="X9:X14" si="46">IF($T9=1,IF($R9&lt;X$3,IF($R9&lt;W$3,0,TRUNC($R9*0.75-275000)),0),0)</f>
        <v>0</v>
      </c>
      <c r="Y9" s="22">
        <f t="shared" ref="Y9:Y14" si="47">IF($T9=1,IF($R9&lt;Y$3,IF($R9&lt;X$3,0,TRUNC($R9*0.85-685000)),0),0)</f>
        <v>0</v>
      </c>
      <c r="Z9" s="22">
        <f t="shared" ref="Z9:Z14" si="48">IF($T9=1,IF($R9&lt;Z$3,IF($R9&lt;Y$3,0,TRUNC($R9*0.95-1455000)),0),0)</f>
        <v>0</v>
      </c>
      <c r="AA9" s="23">
        <f t="shared" ref="AA9:AA14" si="49">IF($T9=1,IF($R9&gt;Z$3-1,$R9-1955000,0),0)</f>
        <v>0</v>
      </c>
      <c r="AB9" s="21">
        <v>0</v>
      </c>
      <c r="AC9" s="22">
        <f t="shared" ref="AC9:AC14" si="50">IF($T9=2,IF($R9&lt;AC$3,IF($R9&lt;AB$3,0,$R9-500000),0),0)</f>
        <v>0</v>
      </c>
      <c r="AD9" s="22">
        <f t="shared" ref="AD9:AD14" si="51">IF($T9=2,IF($R9&lt;AD$3,IF($R9&lt;AC$3,0,TRUNC($R9*0.75-175000)),0),0)</f>
        <v>0</v>
      </c>
      <c r="AE9" s="22">
        <f t="shared" ref="AE9:AE14" si="52">IF($T9=2,IF($R9&lt;AE$3,IF($R9&lt;AD$3,0,TRUNC($R9*0.85-585000)),0),0)</f>
        <v>0</v>
      </c>
      <c r="AF9" s="22">
        <f t="shared" ref="AF9:AF14" si="53">IF($T9=2,IF($R9&lt;AF$3,IF($R9&lt;AE$3,0,TRUNC($R9*0.95-1355000)),0),0)</f>
        <v>0</v>
      </c>
      <c r="AG9" s="23">
        <f t="shared" ref="AG9:AG14" si="54">IF($T9=2,IF($R9&gt;AF$3-1,$R9-1855000,0),0)</f>
        <v>0</v>
      </c>
      <c r="AH9" s="21">
        <v>0</v>
      </c>
      <c r="AI9" s="22">
        <f t="shared" si="30"/>
        <v>0</v>
      </c>
      <c r="AJ9" s="22">
        <f t="shared" si="31"/>
        <v>0</v>
      </c>
      <c r="AK9" s="22">
        <f t="shared" si="32"/>
        <v>0</v>
      </c>
      <c r="AL9" s="22">
        <f t="shared" si="33"/>
        <v>0</v>
      </c>
      <c r="AM9" s="23">
        <f t="shared" si="34"/>
        <v>0</v>
      </c>
      <c r="AN9" s="24">
        <f t="shared" si="17"/>
        <v>0</v>
      </c>
      <c r="AO9" s="25">
        <f>IF(R9&gt;0,BH9,0)</f>
        <v>0</v>
      </c>
      <c r="AP9" s="26">
        <v>0</v>
      </c>
      <c r="AQ9" s="27">
        <f t="shared" si="35"/>
        <v>0</v>
      </c>
      <c r="AR9" s="27">
        <f t="shared" si="36"/>
        <v>0</v>
      </c>
      <c r="AS9" s="27">
        <f t="shared" si="37"/>
        <v>0</v>
      </c>
      <c r="AT9" s="27">
        <f t="shared" si="38"/>
        <v>0</v>
      </c>
      <c r="AU9" s="28">
        <f t="shared" si="39"/>
        <v>0</v>
      </c>
      <c r="AV9" s="26">
        <v>0</v>
      </c>
      <c r="AW9" s="27">
        <f t="shared" ref="AW9:AW14" si="55">IF($T9=2,IF($R9&lt;AW$3,IF($R9&lt;AV$3,0,$R9-1000000),0),0)</f>
        <v>0</v>
      </c>
      <c r="AX9" s="27">
        <f t="shared" ref="AX9:AX14" si="56">IF($T9=2,IF($R9&lt;AX$3,IF($R9&lt;AW$3,0,TRUNC($R9*0.75-175000)),0),0)</f>
        <v>0</v>
      </c>
      <c r="AY9" s="27">
        <f t="shared" ref="AY9:AY14" si="57">IF($T9=2,IF($R9&lt;AY$3,IF($R9&lt;AX$3,0,TRUNC($R9*0.85-585000)),0),0)</f>
        <v>0</v>
      </c>
      <c r="AZ9" s="27">
        <f t="shared" ref="AZ9:AZ14" si="58">IF($T9=2,IF($R9&lt;AZ$3,IF($R9&lt;AY$3,0,TRUNC($R9*0.95-1355000)),0),0)</f>
        <v>0</v>
      </c>
      <c r="BA9" s="28">
        <f t="shared" si="22"/>
        <v>0</v>
      </c>
      <c r="BB9" s="26">
        <v>0</v>
      </c>
      <c r="BC9" s="27">
        <f t="shared" si="40"/>
        <v>0</v>
      </c>
      <c r="BD9" s="27">
        <f t="shared" si="41"/>
        <v>0</v>
      </c>
      <c r="BE9" s="27">
        <f t="shared" si="42"/>
        <v>0</v>
      </c>
      <c r="BF9" s="27">
        <f t="shared" si="43"/>
        <v>0</v>
      </c>
      <c r="BG9" s="28">
        <f t="shared" si="44"/>
        <v>0</v>
      </c>
      <c r="BH9" s="29">
        <f t="shared" si="23"/>
        <v>0</v>
      </c>
      <c r="BJ9" s="27" t="s">
        <v>12</v>
      </c>
      <c r="BK9" s="42">
        <f t="shared" si="24"/>
        <v>0</v>
      </c>
      <c r="BL9" s="42">
        <f t="shared" si="25"/>
        <v>0</v>
      </c>
      <c r="BM9" s="42">
        <f t="shared" si="26"/>
        <v>0</v>
      </c>
      <c r="BN9" s="42">
        <f t="shared" si="27"/>
        <v>0</v>
      </c>
      <c r="BP9" s="43">
        <f>税率!C48</f>
        <v>0</v>
      </c>
      <c r="BQ9" s="42">
        <f t="shared" si="28"/>
        <v>0</v>
      </c>
      <c r="BR9" s="44">
        <f t="shared" si="29"/>
        <v>0</v>
      </c>
    </row>
    <row r="10" spans="1:70" x14ac:dyDescent="0.2">
      <c r="A10" s="27" t="s">
        <v>13</v>
      </c>
      <c r="B10" s="150">
        <f>概算シート!G11</f>
        <v>0</v>
      </c>
      <c r="C10" s="30">
        <f t="shared" ref="C10:C14" si="59">IF($B10&gt;0,$O10,0)</f>
        <v>0</v>
      </c>
      <c r="D10" s="210"/>
      <c r="E10" s="211"/>
      <c r="F10" s="211"/>
      <c r="G10" s="211"/>
      <c r="H10" s="211"/>
      <c r="I10" s="211"/>
      <c r="J10" s="211">
        <f t="shared" si="0"/>
        <v>0</v>
      </c>
      <c r="K10" s="211">
        <f t="shared" si="1"/>
        <v>0</v>
      </c>
      <c r="L10" s="211">
        <f t="shared" si="2"/>
        <v>0</v>
      </c>
      <c r="M10" s="211">
        <f t="shared" si="3"/>
        <v>0</v>
      </c>
      <c r="N10" s="211">
        <f t="shared" si="4"/>
        <v>0</v>
      </c>
      <c r="O10" s="211">
        <f t="shared" si="5"/>
        <v>0</v>
      </c>
      <c r="P10" s="13"/>
      <c r="Q10" s="27" t="s">
        <v>13</v>
      </c>
      <c r="R10" s="151">
        <f>概算シート!I11</f>
        <v>0</v>
      </c>
      <c r="S10" s="152">
        <f>C10+概算シート!K11</f>
        <v>0</v>
      </c>
      <c r="T10" s="151">
        <f t="shared" si="6"/>
        <v>1</v>
      </c>
      <c r="U10" s="20">
        <f t="shared" ref="U10:U14" si="60">IF(R10&gt;0,AN10,0)</f>
        <v>0</v>
      </c>
      <c r="V10" s="21">
        <v>0</v>
      </c>
      <c r="W10" s="22">
        <f t="shared" si="45"/>
        <v>0</v>
      </c>
      <c r="X10" s="22">
        <f t="shared" si="46"/>
        <v>0</v>
      </c>
      <c r="Y10" s="22">
        <f t="shared" si="47"/>
        <v>0</v>
      </c>
      <c r="Z10" s="22">
        <f t="shared" si="48"/>
        <v>0</v>
      </c>
      <c r="AA10" s="23">
        <f t="shared" si="49"/>
        <v>0</v>
      </c>
      <c r="AB10" s="21">
        <v>0</v>
      </c>
      <c r="AC10" s="22">
        <f t="shared" si="50"/>
        <v>0</v>
      </c>
      <c r="AD10" s="22">
        <f t="shared" si="51"/>
        <v>0</v>
      </c>
      <c r="AE10" s="22">
        <f t="shared" si="52"/>
        <v>0</v>
      </c>
      <c r="AF10" s="22">
        <f t="shared" si="53"/>
        <v>0</v>
      </c>
      <c r="AG10" s="23">
        <f t="shared" si="54"/>
        <v>0</v>
      </c>
      <c r="AH10" s="21">
        <v>0</v>
      </c>
      <c r="AI10" s="22">
        <f t="shared" si="30"/>
        <v>0</v>
      </c>
      <c r="AJ10" s="22">
        <f t="shared" si="31"/>
        <v>0</v>
      </c>
      <c r="AK10" s="22">
        <f t="shared" si="32"/>
        <v>0</v>
      </c>
      <c r="AL10" s="22">
        <f t="shared" si="33"/>
        <v>0</v>
      </c>
      <c r="AM10" s="23">
        <f t="shared" si="34"/>
        <v>0</v>
      </c>
      <c r="AN10" s="24">
        <f t="shared" si="17"/>
        <v>0</v>
      </c>
      <c r="AO10" s="25">
        <f t="shared" ref="AO10:AO14" si="61">IF(R10&gt;0,BH10,0)</f>
        <v>0</v>
      </c>
      <c r="AP10" s="26">
        <v>0</v>
      </c>
      <c r="AQ10" s="27">
        <f t="shared" si="35"/>
        <v>0</v>
      </c>
      <c r="AR10" s="27">
        <f t="shared" si="36"/>
        <v>0</v>
      </c>
      <c r="AS10" s="27">
        <f t="shared" si="37"/>
        <v>0</v>
      </c>
      <c r="AT10" s="27">
        <f t="shared" si="38"/>
        <v>0</v>
      </c>
      <c r="AU10" s="28">
        <f t="shared" si="39"/>
        <v>0</v>
      </c>
      <c r="AV10" s="26">
        <v>0</v>
      </c>
      <c r="AW10" s="27">
        <f t="shared" si="55"/>
        <v>0</v>
      </c>
      <c r="AX10" s="27">
        <f t="shared" si="56"/>
        <v>0</v>
      </c>
      <c r="AY10" s="27">
        <f t="shared" si="57"/>
        <v>0</v>
      </c>
      <c r="AZ10" s="27">
        <f t="shared" si="58"/>
        <v>0</v>
      </c>
      <c r="BA10" s="28">
        <f t="shared" si="22"/>
        <v>0</v>
      </c>
      <c r="BB10" s="26">
        <v>0</v>
      </c>
      <c r="BC10" s="27">
        <f t="shared" si="40"/>
        <v>0</v>
      </c>
      <c r="BD10" s="27">
        <f t="shared" si="41"/>
        <v>0</v>
      </c>
      <c r="BE10" s="27">
        <f t="shared" si="42"/>
        <v>0</v>
      </c>
      <c r="BF10" s="27">
        <f t="shared" si="43"/>
        <v>0</v>
      </c>
      <c r="BG10" s="28">
        <f t="shared" si="44"/>
        <v>0</v>
      </c>
      <c r="BH10" s="29">
        <f t="shared" ref="BH10:BH14" si="62">SUM(AP10:AU10)</f>
        <v>0</v>
      </c>
      <c r="BJ10" s="27" t="s">
        <v>13</v>
      </c>
      <c r="BK10" s="42">
        <f t="shared" si="24"/>
        <v>0</v>
      </c>
      <c r="BL10" s="42">
        <f t="shared" si="25"/>
        <v>0</v>
      </c>
      <c r="BM10" s="42">
        <f t="shared" si="26"/>
        <v>0</v>
      </c>
      <c r="BN10" s="42">
        <f t="shared" si="27"/>
        <v>0</v>
      </c>
      <c r="BP10" s="43">
        <f>税率!C49</f>
        <v>0</v>
      </c>
      <c r="BQ10" s="42">
        <f t="shared" si="28"/>
        <v>0</v>
      </c>
      <c r="BR10" s="44">
        <f t="shared" si="29"/>
        <v>0</v>
      </c>
    </row>
    <row r="11" spans="1:70" x14ac:dyDescent="0.2">
      <c r="A11" s="27" t="s">
        <v>14</v>
      </c>
      <c r="B11" s="150">
        <f>概算シート!G12</f>
        <v>0</v>
      </c>
      <c r="C11" s="30">
        <f t="shared" si="59"/>
        <v>0</v>
      </c>
      <c r="D11" s="210"/>
      <c r="E11" s="211"/>
      <c r="F11" s="211"/>
      <c r="G11" s="211"/>
      <c r="H11" s="211"/>
      <c r="I11" s="211"/>
      <c r="J11" s="211">
        <f t="shared" si="0"/>
        <v>0</v>
      </c>
      <c r="K11" s="211">
        <f t="shared" si="1"/>
        <v>0</v>
      </c>
      <c r="L11" s="211">
        <f t="shared" si="2"/>
        <v>0</v>
      </c>
      <c r="M11" s="211">
        <f t="shared" si="3"/>
        <v>0</v>
      </c>
      <c r="N11" s="211">
        <f t="shared" si="4"/>
        <v>0</v>
      </c>
      <c r="O11" s="211">
        <f t="shared" si="5"/>
        <v>0</v>
      </c>
      <c r="P11" s="13"/>
      <c r="Q11" s="27" t="s">
        <v>14</v>
      </c>
      <c r="R11" s="151">
        <f>概算シート!I12</f>
        <v>0</v>
      </c>
      <c r="S11" s="152">
        <f>C11+概算シート!K12</f>
        <v>0</v>
      </c>
      <c r="T11" s="151">
        <f t="shared" si="6"/>
        <v>1</v>
      </c>
      <c r="U11" s="20">
        <f t="shared" si="60"/>
        <v>0</v>
      </c>
      <c r="V11" s="21">
        <v>0</v>
      </c>
      <c r="W11" s="22">
        <f t="shared" si="45"/>
        <v>0</v>
      </c>
      <c r="X11" s="22">
        <f t="shared" si="46"/>
        <v>0</v>
      </c>
      <c r="Y11" s="22">
        <f t="shared" si="47"/>
        <v>0</v>
      </c>
      <c r="Z11" s="22">
        <f t="shared" si="48"/>
        <v>0</v>
      </c>
      <c r="AA11" s="23">
        <f t="shared" si="49"/>
        <v>0</v>
      </c>
      <c r="AB11" s="21">
        <v>0</v>
      </c>
      <c r="AC11" s="22">
        <f t="shared" si="50"/>
        <v>0</v>
      </c>
      <c r="AD11" s="22">
        <f t="shared" si="51"/>
        <v>0</v>
      </c>
      <c r="AE11" s="22">
        <f t="shared" si="52"/>
        <v>0</v>
      </c>
      <c r="AF11" s="22">
        <f t="shared" si="53"/>
        <v>0</v>
      </c>
      <c r="AG11" s="23">
        <f t="shared" si="54"/>
        <v>0</v>
      </c>
      <c r="AH11" s="21">
        <v>0</v>
      </c>
      <c r="AI11" s="22">
        <f t="shared" si="30"/>
        <v>0</v>
      </c>
      <c r="AJ11" s="22">
        <f t="shared" si="31"/>
        <v>0</v>
      </c>
      <c r="AK11" s="22">
        <f t="shared" si="32"/>
        <v>0</v>
      </c>
      <c r="AL11" s="22">
        <f t="shared" si="33"/>
        <v>0</v>
      </c>
      <c r="AM11" s="23">
        <f t="shared" si="34"/>
        <v>0</v>
      </c>
      <c r="AN11" s="24">
        <f t="shared" si="17"/>
        <v>0</v>
      </c>
      <c r="AO11" s="25">
        <f t="shared" si="61"/>
        <v>0</v>
      </c>
      <c r="AP11" s="26">
        <v>0</v>
      </c>
      <c r="AQ11" s="27">
        <f t="shared" si="35"/>
        <v>0</v>
      </c>
      <c r="AR11" s="27">
        <f t="shared" si="36"/>
        <v>0</v>
      </c>
      <c r="AS11" s="27">
        <f t="shared" si="37"/>
        <v>0</v>
      </c>
      <c r="AT11" s="27">
        <f t="shared" si="38"/>
        <v>0</v>
      </c>
      <c r="AU11" s="28">
        <f t="shared" si="39"/>
        <v>0</v>
      </c>
      <c r="AV11" s="26">
        <v>0</v>
      </c>
      <c r="AW11" s="27">
        <f t="shared" si="55"/>
        <v>0</v>
      </c>
      <c r="AX11" s="27">
        <f t="shared" si="56"/>
        <v>0</v>
      </c>
      <c r="AY11" s="27">
        <f t="shared" si="57"/>
        <v>0</v>
      </c>
      <c r="AZ11" s="27">
        <f t="shared" si="58"/>
        <v>0</v>
      </c>
      <c r="BA11" s="28">
        <f t="shared" si="22"/>
        <v>0</v>
      </c>
      <c r="BB11" s="26">
        <v>0</v>
      </c>
      <c r="BC11" s="27">
        <f t="shared" si="40"/>
        <v>0</v>
      </c>
      <c r="BD11" s="27">
        <f t="shared" si="41"/>
        <v>0</v>
      </c>
      <c r="BE11" s="27">
        <f t="shared" si="42"/>
        <v>0</v>
      </c>
      <c r="BF11" s="27">
        <f t="shared" si="43"/>
        <v>0</v>
      </c>
      <c r="BG11" s="28">
        <f t="shared" si="44"/>
        <v>0</v>
      </c>
      <c r="BH11" s="29">
        <f t="shared" si="62"/>
        <v>0</v>
      </c>
      <c r="BJ11" s="27" t="s">
        <v>14</v>
      </c>
      <c r="BK11" s="42">
        <f t="shared" si="24"/>
        <v>0</v>
      </c>
      <c r="BL11" s="42">
        <f t="shared" si="25"/>
        <v>0</v>
      </c>
      <c r="BM11" s="42">
        <f t="shared" si="26"/>
        <v>0</v>
      </c>
      <c r="BN11" s="42">
        <f t="shared" si="27"/>
        <v>0</v>
      </c>
      <c r="BP11" s="43">
        <f>税率!C50</f>
        <v>0</v>
      </c>
      <c r="BQ11" s="42">
        <f t="shared" si="28"/>
        <v>0</v>
      </c>
      <c r="BR11" s="44">
        <f t="shared" si="29"/>
        <v>0</v>
      </c>
    </row>
    <row r="12" spans="1:70" x14ac:dyDescent="0.2">
      <c r="A12" s="27" t="s">
        <v>15</v>
      </c>
      <c r="B12" s="150">
        <f>概算シート!G13</f>
        <v>0</v>
      </c>
      <c r="C12" s="30">
        <f t="shared" si="59"/>
        <v>0</v>
      </c>
      <c r="D12" s="210"/>
      <c r="E12" s="211"/>
      <c r="F12" s="211"/>
      <c r="G12" s="211"/>
      <c r="H12" s="211"/>
      <c r="I12" s="211"/>
      <c r="J12" s="211">
        <f t="shared" si="0"/>
        <v>0</v>
      </c>
      <c r="K12" s="211">
        <f t="shared" si="1"/>
        <v>0</v>
      </c>
      <c r="L12" s="211">
        <f t="shared" si="2"/>
        <v>0</v>
      </c>
      <c r="M12" s="211">
        <f t="shared" si="3"/>
        <v>0</v>
      </c>
      <c r="N12" s="211">
        <f t="shared" si="4"/>
        <v>0</v>
      </c>
      <c r="O12" s="211">
        <f t="shared" si="5"/>
        <v>0</v>
      </c>
      <c r="P12" s="13"/>
      <c r="Q12" s="27" t="s">
        <v>15</v>
      </c>
      <c r="R12" s="151">
        <f>概算シート!I13</f>
        <v>0</v>
      </c>
      <c r="S12" s="152">
        <f>C12+概算シート!K13</f>
        <v>0</v>
      </c>
      <c r="T12" s="151">
        <f t="shared" si="6"/>
        <v>1</v>
      </c>
      <c r="U12" s="20">
        <f t="shared" si="60"/>
        <v>0</v>
      </c>
      <c r="V12" s="21">
        <v>0</v>
      </c>
      <c r="W12" s="22">
        <f t="shared" si="45"/>
        <v>0</v>
      </c>
      <c r="X12" s="22">
        <f t="shared" si="46"/>
        <v>0</v>
      </c>
      <c r="Y12" s="22">
        <f t="shared" si="47"/>
        <v>0</v>
      </c>
      <c r="Z12" s="22">
        <f t="shared" si="48"/>
        <v>0</v>
      </c>
      <c r="AA12" s="23">
        <f t="shared" si="49"/>
        <v>0</v>
      </c>
      <c r="AB12" s="21">
        <v>0</v>
      </c>
      <c r="AC12" s="22">
        <f t="shared" si="50"/>
        <v>0</v>
      </c>
      <c r="AD12" s="22">
        <f t="shared" si="51"/>
        <v>0</v>
      </c>
      <c r="AE12" s="22">
        <f t="shared" si="52"/>
        <v>0</v>
      </c>
      <c r="AF12" s="22">
        <f t="shared" si="53"/>
        <v>0</v>
      </c>
      <c r="AG12" s="23">
        <f t="shared" si="54"/>
        <v>0</v>
      </c>
      <c r="AH12" s="21">
        <v>0</v>
      </c>
      <c r="AI12" s="22">
        <f t="shared" si="30"/>
        <v>0</v>
      </c>
      <c r="AJ12" s="22">
        <f t="shared" si="31"/>
        <v>0</v>
      </c>
      <c r="AK12" s="22">
        <f t="shared" si="32"/>
        <v>0</v>
      </c>
      <c r="AL12" s="22">
        <f t="shared" si="33"/>
        <v>0</v>
      </c>
      <c r="AM12" s="23">
        <f t="shared" si="34"/>
        <v>0</v>
      </c>
      <c r="AN12" s="24">
        <f t="shared" si="17"/>
        <v>0</v>
      </c>
      <c r="AO12" s="25">
        <f t="shared" si="61"/>
        <v>0</v>
      </c>
      <c r="AP12" s="26">
        <v>0</v>
      </c>
      <c r="AQ12" s="27">
        <f t="shared" si="35"/>
        <v>0</v>
      </c>
      <c r="AR12" s="27">
        <f t="shared" si="36"/>
        <v>0</v>
      </c>
      <c r="AS12" s="27">
        <f t="shared" si="37"/>
        <v>0</v>
      </c>
      <c r="AT12" s="27">
        <f t="shared" si="38"/>
        <v>0</v>
      </c>
      <c r="AU12" s="28">
        <f t="shared" si="39"/>
        <v>0</v>
      </c>
      <c r="AV12" s="26">
        <v>0</v>
      </c>
      <c r="AW12" s="27">
        <f t="shared" si="55"/>
        <v>0</v>
      </c>
      <c r="AX12" s="27">
        <f t="shared" si="56"/>
        <v>0</v>
      </c>
      <c r="AY12" s="27">
        <f t="shared" si="57"/>
        <v>0</v>
      </c>
      <c r="AZ12" s="27">
        <f t="shared" si="58"/>
        <v>0</v>
      </c>
      <c r="BA12" s="28">
        <f t="shared" si="22"/>
        <v>0</v>
      </c>
      <c r="BB12" s="26">
        <v>0</v>
      </c>
      <c r="BC12" s="27">
        <f t="shared" si="40"/>
        <v>0</v>
      </c>
      <c r="BD12" s="27">
        <f t="shared" si="41"/>
        <v>0</v>
      </c>
      <c r="BE12" s="27">
        <f t="shared" si="42"/>
        <v>0</v>
      </c>
      <c r="BF12" s="27">
        <f t="shared" si="43"/>
        <v>0</v>
      </c>
      <c r="BG12" s="28">
        <f t="shared" si="44"/>
        <v>0</v>
      </c>
      <c r="BH12" s="29">
        <f t="shared" si="62"/>
        <v>0</v>
      </c>
      <c r="BJ12" s="27" t="s">
        <v>15</v>
      </c>
      <c r="BK12" s="42">
        <f t="shared" si="24"/>
        <v>0</v>
      </c>
      <c r="BL12" s="42">
        <f t="shared" si="25"/>
        <v>0</v>
      </c>
      <c r="BM12" s="42">
        <f t="shared" si="26"/>
        <v>0</v>
      </c>
      <c r="BN12" s="42">
        <f t="shared" si="27"/>
        <v>0</v>
      </c>
      <c r="BP12" s="43">
        <f>税率!C51</f>
        <v>0</v>
      </c>
      <c r="BQ12" s="42">
        <f t="shared" si="28"/>
        <v>0</v>
      </c>
      <c r="BR12" s="44">
        <f t="shared" si="29"/>
        <v>0</v>
      </c>
    </row>
    <row r="13" spans="1:70" x14ac:dyDescent="0.2">
      <c r="A13" s="27" t="s">
        <v>16</v>
      </c>
      <c r="B13" s="150">
        <f>概算シート!G14</f>
        <v>0</v>
      </c>
      <c r="C13" s="30">
        <f t="shared" si="59"/>
        <v>0</v>
      </c>
      <c r="D13" s="210"/>
      <c r="E13" s="211"/>
      <c r="F13" s="211"/>
      <c r="G13" s="211"/>
      <c r="H13" s="211"/>
      <c r="I13" s="211"/>
      <c r="J13" s="211">
        <f t="shared" si="0"/>
        <v>0</v>
      </c>
      <c r="K13" s="211">
        <f t="shared" si="1"/>
        <v>0</v>
      </c>
      <c r="L13" s="211">
        <f t="shared" si="2"/>
        <v>0</v>
      </c>
      <c r="M13" s="211">
        <f t="shared" si="3"/>
        <v>0</v>
      </c>
      <c r="N13" s="211">
        <f t="shared" si="4"/>
        <v>0</v>
      </c>
      <c r="O13" s="211">
        <f t="shared" si="5"/>
        <v>0</v>
      </c>
      <c r="P13" s="13"/>
      <c r="Q13" s="27" t="s">
        <v>16</v>
      </c>
      <c r="R13" s="151">
        <f>概算シート!I14</f>
        <v>0</v>
      </c>
      <c r="S13" s="152">
        <f>C13+概算シート!K14</f>
        <v>0</v>
      </c>
      <c r="T13" s="151">
        <f t="shared" si="6"/>
        <v>1</v>
      </c>
      <c r="U13" s="20">
        <f t="shared" si="60"/>
        <v>0</v>
      </c>
      <c r="V13" s="21">
        <v>0</v>
      </c>
      <c r="W13" s="22">
        <f t="shared" si="45"/>
        <v>0</v>
      </c>
      <c r="X13" s="22">
        <f t="shared" si="46"/>
        <v>0</v>
      </c>
      <c r="Y13" s="22">
        <f t="shared" si="47"/>
        <v>0</v>
      </c>
      <c r="Z13" s="22">
        <f t="shared" si="48"/>
        <v>0</v>
      </c>
      <c r="AA13" s="23">
        <f t="shared" si="49"/>
        <v>0</v>
      </c>
      <c r="AB13" s="21">
        <v>0</v>
      </c>
      <c r="AC13" s="22">
        <f t="shared" si="50"/>
        <v>0</v>
      </c>
      <c r="AD13" s="22">
        <f t="shared" si="51"/>
        <v>0</v>
      </c>
      <c r="AE13" s="22">
        <f t="shared" si="52"/>
        <v>0</v>
      </c>
      <c r="AF13" s="22">
        <f t="shared" si="53"/>
        <v>0</v>
      </c>
      <c r="AG13" s="23">
        <f t="shared" si="54"/>
        <v>0</v>
      </c>
      <c r="AH13" s="21">
        <v>0</v>
      </c>
      <c r="AI13" s="22">
        <f t="shared" si="30"/>
        <v>0</v>
      </c>
      <c r="AJ13" s="22">
        <f t="shared" si="31"/>
        <v>0</v>
      </c>
      <c r="AK13" s="22">
        <f t="shared" si="32"/>
        <v>0</v>
      </c>
      <c r="AL13" s="22">
        <f t="shared" si="33"/>
        <v>0</v>
      </c>
      <c r="AM13" s="23">
        <f t="shared" si="34"/>
        <v>0</v>
      </c>
      <c r="AN13" s="24">
        <f t="shared" si="17"/>
        <v>0</v>
      </c>
      <c r="AO13" s="25">
        <f t="shared" si="61"/>
        <v>0</v>
      </c>
      <c r="AP13" s="26">
        <v>0</v>
      </c>
      <c r="AQ13" s="27">
        <f t="shared" si="35"/>
        <v>0</v>
      </c>
      <c r="AR13" s="27">
        <f t="shared" si="36"/>
        <v>0</v>
      </c>
      <c r="AS13" s="27">
        <f t="shared" si="37"/>
        <v>0</v>
      </c>
      <c r="AT13" s="27">
        <f t="shared" si="38"/>
        <v>0</v>
      </c>
      <c r="AU13" s="28">
        <f t="shared" si="39"/>
        <v>0</v>
      </c>
      <c r="AV13" s="26">
        <v>0</v>
      </c>
      <c r="AW13" s="27">
        <f t="shared" si="55"/>
        <v>0</v>
      </c>
      <c r="AX13" s="27">
        <f t="shared" si="56"/>
        <v>0</v>
      </c>
      <c r="AY13" s="27">
        <f t="shared" si="57"/>
        <v>0</v>
      </c>
      <c r="AZ13" s="27">
        <f t="shared" si="58"/>
        <v>0</v>
      </c>
      <c r="BA13" s="28">
        <f t="shared" si="22"/>
        <v>0</v>
      </c>
      <c r="BB13" s="26">
        <v>0</v>
      </c>
      <c r="BC13" s="27">
        <f t="shared" si="40"/>
        <v>0</v>
      </c>
      <c r="BD13" s="27">
        <f t="shared" si="41"/>
        <v>0</v>
      </c>
      <c r="BE13" s="27">
        <f t="shared" si="42"/>
        <v>0</v>
      </c>
      <c r="BF13" s="27">
        <f t="shared" si="43"/>
        <v>0</v>
      </c>
      <c r="BG13" s="28">
        <f t="shared" si="44"/>
        <v>0</v>
      </c>
      <c r="BH13" s="29">
        <f t="shared" si="62"/>
        <v>0</v>
      </c>
      <c r="BJ13" s="27" t="s">
        <v>16</v>
      </c>
      <c r="BK13" s="42">
        <f t="shared" si="24"/>
        <v>0</v>
      </c>
      <c r="BL13" s="42">
        <f t="shared" si="25"/>
        <v>0</v>
      </c>
      <c r="BM13" s="42">
        <f t="shared" si="26"/>
        <v>0</v>
      </c>
      <c r="BN13" s="42">
        <f t="shared" si="27"/>
        <v>0</v>
      </c>
      <c r="BP13" s="43">
        <f>税率!C52</f>
        <v>0</v>
      </c>
      <c r="BQ13" s="42">
        <f t="shared" si="28"/>
        <v>0</v>
      </c>
      <c r="BR13" s="44">
        <f t="shared" si="29"/>
        <v>0</v>
      </c>
    </row>
    <row r="14" spans="1:70" x14ac:dyDescent="0.2">
      <c r="A14" s="27" t="s">
        <v>17</v>
      </c>
      <c r="B14" s="150">
        <f>概算シート!G15</f>
        <v>0</v>
      </c>
      <c r="C14" s="30">
        <f t="shared" si="59"/>
        <v>0</v>
      </c>
      <c r="D14" s="210"/>
      <c r="E14" s="211"/>
      <c r="F14" s="211"/>
      <c r="G14" s="211"/>
      <c r="H14" s="211"/>
      <c r="I14" s="211"/>
      <c r="J14" s="211">
        <f t="shared" si="0"/>
        <v>0</v>
      </c>
      <c r="K14" s="211">
        <f t="shared" si="1"/>
        <v>0</v>
      </c>
      <c r="L14" s="211">
        <f t="shared" si="2"/>
        <v>0</v>
      </c>
      <c r="M14" s="211">
        <f t="shared" si="3"/>
        <v>0</v>
      </c>
      <c r="N14" s="211">
        <f t="shared" si="4"/>
        <v>0</v>
      </c>
      <c r="O14" s="211">
        <f t="shared" si="5"/>
        <v>0</v>
      </c>
      <c r="P14" s="13"/>
      <c r="Q14" s="27" t="s">
        <v>17</v>
      </c>
      <c r="R14" s="151">
        <f>概算シート!I15</f>
        <v>0</v>
      </c>
      <c r="S14" s="152">
        <f>C14+概算シート!K15</f>
        <v>0</v>
      </c>
      <c r="T14" s="151">
        <f t="shared" si="6"/>
        <v>1</v>
      </c>
      <c r="U14" s="20">
        <f t="shared" si="60"/>
        <v>0</v>
      </c>
      <c r="V14" s="21">
        <v>0</v>
      </c>
      <c r="W14" s="22">
        <f t="shared" si="45"/>
        <v>0</v>
      </c>
      <c r="X14" s="22">
        <f t="shared" si="46"/>
        <v>0</v>
      </c>
      <c r="Y14" s="22">
        <f t="shared" si="47"/>
        <v>0</v>
      </c>
      <c r="Z14" s="22">
        <f t="shared" si="48"/>
        <v>0</v>
      </c>
      <c r="AA14" s="23">
        <f t="shared" si="49"/>
        <v>0</v>
      </c>
      <c r="AB14" s="21">
        <v>0</v>
      </c>
      <c r="AC14" s="22">
        <f t="shared" si="50"/>
        <v>0</v>
      </c>
      <c r="AD14" s="22">
        <f t="shared" si="51"/>
        <v>0</v>
      </c>
      <c r="AE14" s="22">
        <f t="shared" si="52"/>
        <v>0</v>
      </c>
      <c r="AF14" s="22">
        <f t="shared" si="53"/>
        <v>0</v>
      </c>
      <c r="AG14" s="23">
        <f t="shared" si="54"/>
        <v>0</v>
      </c>
      <c r="AH14" s="21">
        <v>0</v>
      </c>
      <c r="AI14" s="22">
        <f t="shared" si="30"/>
        <v>0</v>
      </c>
      <c r="AJ14" s="22">
        <f t="shared" si="31"/>
        <v>0</v>
      </c>
      <c r="AK14" s="22">
        <f t="shared" si="32"/>
        <v>0</v>
      </c>
      <c r="AL14" s="22">
        <f t="shared" si="33"/>
        <v>0</v>
      </c>
      <c r="AM14" s="23">
        <f t="shared" si="34"/>
        <v>0</v>
      </c>
      <c r="AN14" s="24">
        <f t="shared" si="17"/>
        <v>0</v>
      </c>
      <c r="AO14" s="25">
        <f t="shared" si="61"/>
        <v>0</v>
      </c>
      <c r="AP14" s="26">
        <v>0</v>
      </c>
      <c r="AQ14" s="27">
        <f t="shared" si="35"/>
        <v>0</v>
      </c>
      <c r="AR14" s="27">
        <f t="shared" si="36"/>
        <v>0</v>
      </c>
      <c r="AS14" s="27">
        <f t="shared" si="37"/>
        <v>0</v>
      </c>
      <c r="AT14" s="27">
        <f t="shared" si="38"/>
        <v>0</v>
      </c>
      <c r="AU14" s="28">
        <f t="shared" si="39"/>
        <v>0</v>
      </c>
      <c r="AV14" s="26">
        <v>0</v>
      </c>
      <c r="AW14" s="27">
        <f t="shared" si="55"/>
        <v>0</v>
      </c>
      <c r="AX14" s="27">
        <f t="shared" si="56"/>
        <v>0</v>
      </c>
      <c r="AY14" s="27">
        <f t="shared" si="57"/>
        <v>0</v>
      </c>
      <c r="AZ14" s="27">
        <f t="shared" si="58"/>
        <v>0</v>
      </c>
      <c r="BA14" s="28">
        <f t="shared" si="22"/>
        <v>0</v>
      </c>
      <c r="BB14" s="26">
        <v>0</v>
      </c>
      <c r="BC14" s="27">
        <f t="shared" si="40"/>
        <v>0</v>
      </c>
      <c r="BD14" s="27">
        <f t="shared" si="41"/>
        <v>0</v>
      </c>
      <c r="BE14" s="27">
        <f t="shared" si="42"/>
        <v>0</v>
      </c>
      <c r="BF14" s="27">
        <f t="shared" si="43"/>
        <v>0</v>
      </c>
      <c r="BG14" s="28">
        <f t="shared" si="44"/>
        <v>0</v>
      </c>
      <c r="BH14" s="29">
        <f t="shared" si="62"/>
        <v>0</v>
      </c>
      <c r="BJ14" s="27" t="s">
        <v>17</v>
      </c>
      <c r="BK14" s="42">
        <f t="shared" si="24"/>
        <v>0</v>
      </c>
      <c r="BL14" s="42">
        <f t="shared" si="25"/>
        <v>0</v>
      </c>
      <c r="BM14" s="42">
        <f t="shared" si="26"/>
        <v>0</v>
      </c>
      <c r="BN14" s="42">
        <f t="shared" si="27"/>
        <v>0</v>
      </c>
      <c r="BP14" s="43">
        <f>税率!C53</f>
        <v>0</v>
      </c>
      <c r="BQ14" s="42">
        <f t="shared" si="28"/>
        <v>0</v>
      </c>
      <c r="BR14" s="44">
        <f t="shared" si="29"/>
        <v>0</v>
      </c>
    </row>
  </sheetData>
  <sheetProtection formatCells="0" selectLockedCells="1"/>
  <mergeCells count="16">
    <mergeCell ref="BP2:BP4"/>
    <mergeCell ref="BQ2:BQ4"/>
    <mergeCell ref="BR2:BR4"/>
    <mergeCell ref="A3:A4"/>
    <mergeCell ref="B3:B4"/>
    <mergeCell ref="C3:C4"/>
    <mergeCell ref="O3:O4"/>
    <mergeCell ref="Q3:Q4"/>
    <mergeCell ref="AN3:AN4"/>
    <mergeCell ref="BH3:BH4"/>
    <mergeCell ref="BJ3:BJ4"/>
    <mergeCell ref="B2:C2"/>
    <mergeCell ref="R2:AO2"/>
    <mergeCell ref="R3:R4"/>
    <mergeCell ref="S3:S4"/>
    <mergeCell ref="BJ2:BN2"/>
  </mergeCells>
  <phoneticPr fontId="5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R14"/>
  <sheetViews>
    <sheetView workbookViewId="0">
      <selection activeCell="B1" sqref="B1"/>
    </sheetView>
  </sheetViews>
  <sheetFormatPr defaultColWidth="9" defaultRowHeight="13.3" x14ac:dyDescent="0.2"/>
  <cols>
    <col min="1" max="1" width="7.5" style="11" bestFit="1" customWidth="1"/>
    <col min="2" max="3" width="11.59765625" style="11" bestFit="1" customWidth="1"/>
    <col min="4" max="4" width="9" style="11" hidden="1" customWidth="1"/>
    <col min="5" max="12" width="10.5" style="11" hidden="1" customWidth="1"/>
    <col min="13" max="14" width="11.59765625" style="11" hidden="1" customWidth="1"/>
    <col min="15" max="15" width="11.8984375" style="11" hidden="1" customWidth="1"/>
    <col min="16" max="16" width="1.69921875" style="11" customWidth="1"/>
    <col min="17" max="17" width="7.5" style="11" bestFit="1" customWidth="1"/>
    <col min="18" max="18" width="12.8984375" style="11" customWidth="1"/>
    <col min="19" max="19" width="15.69921875" style="11" customWidth="1"/>
    <col min="20" max="20" width="5.8984375" style="11" hidden="1" customWidth="1"/>
    <col min="21" max="21" width="13.09765625" style="11" customWidth="1"/>
    <col min="22" max="25" width="10.5" style="11" hidden="1" customWidth="1"/>
    <col min="26" max="27" width="11.59765625" style="11" hidden="1" customWidth="1"/>
    <col min="28" max="31" width="10.5" style="11" hidden="1" customWidth="1"/>
    <col min="32" max="33" width="11.59765625" style="11" hidden="1" customWidth="1"/>
    <col min="34" max="37" width="10.5" style="11" hidden="1" customWidth="1"/>
    <col min="38" max="39" width="11.59765625" style="11" hidden="1" customWidth="1"/>
    <col min="40" max="40" width="10.5" style="11" hidden="1" customWidth="1"/>
    <col min="41" max="41" width="13.09765625" style="11" bestFit="1" customWidth="1"/>
    <col min="42" max="45" width="9.8984375" style="11" hidden="1" customWidth="1"/>
    <col min="46" max="47" width="11.59765625" style="11" hidden="1" customWidth="1"/>
    <col min="48" max="51" width="9.8984375" style="11" hidden="1" customWidth="1"/>
    <col min="52" max="53" width="11.59765625" style="11" hidden="1" customWidth="1"/>
    <col min="54" max="57" width="9.8984375" style="11" hidden="1" customWidth="1"/>
    <col min="58" max="59" width="11.59765625" style="11" hidden="1" customWidth="1"/>
    <col min="60" max="60" width="9.8984375" style="11" hidden="1" customWidth="1"/>
    <col min="61" max="61" width="2.69921875" style="11" customWidth="1"/>
    <col min="62" max="62" width="7.5" style="11" bestFit="1" customWidth="1"/>
    <col min="63" max="63" width="11.19921875" style="11" hidden="1" customWidth="1"/>
    <col min="64" max="64" width="11.19921875" style="11" customWidth="1"/>
    <col min="65" max="65" width="11.19921875" style="11" hidden="1" customWidth="1"/>
    <col min="66" max="66" width="11.19921875" style="11" customWidth="1"/>
    <col min="67" max="67" width="2.8984375" style="11" customWidth="1"/>
    <col min="68" max="68" width="5.5" style="11" bestFit="1" customWidth="1"/>
    <col min="69" max="69" width="12.59765625" style="11" customWidth="1"/>
    <col min="70" max="70" width="12.59765625" style="11" hidden="1" customWidth="1"/>
    <col min="71" max="16384" width="9" style="11"/>
  </cols>
  <sheetData>
    <row r="1" spans="1:70" ht="13.85" thickBot="1" x14ac:dyDescent="0.25">
      <c r="R1" s="11">
        <v>18</v>
      </c>
      <c r="U1" s="11">
        <v>21</v>
      </c>
      <c r="AO1" s="11">
        <v>41</v>
      </c>
      <c r="AP1" s="11">
        <v>42</v>
      </c>
      <c r="AQ1" s="11">
        <v>43</v>
      </c>
      <c r="AR1" s="11">
        <v>44</v>
      </c>
      <c r="AS1" s="11">
        <v>45</v>
      </c>
      <c r="AT1" s="11">
        <v>46</v>
      </c>
      <c r="AU1" s="11">
        <v>47</v>
      </c>
      <c r="AV1" s="11">
        <v>48</v>
      </c>
      <c r="AW1" s="11">
        <v>49</v>
      </c>
      <c r="AX1" s="11">
        <v>50</v>
      </c>
      <c r="AY1" s="11">
        <v>51</v>
      </c>
      <c r="AZ1" s="11">
        <v>52</v>
      </c>
      <c r="BA1" s="11">
        <v>53</v>
      </c>
      <c r="BB1" s="11">
        <v>54</v>
      </c>
      <c r="BC1" s="11">
        <v>55</v>
      </c>
      <c r="BD1" s="11">
        <v>56</v>
      </c>
      <c r="BE1" s="11">
        <v>57</v>
      </c>
      <c r="BF1" s="11">
        <v>58</v>
      </c>
      <c r="BG1" s="11">
        <v>59</v>
      </c>
      <c r="BH1" s="11">
        <v>60</v>
      </c>
      <c r="BI1" s="11">
        <v>61</v>
      </c>
      <c r="BJ1" s="11">
        <v>62</v>
      </c>
      <c r="BK1" s="11">
        <v>63</v>
      </c>
    </row>
    <row r="2" spans="1:70" ht="13.85" thickBot="1" x14ac:dyDescent="0.25">
      <c r="A2" s="12"/>
      <c r="B2" s="308" t="s">
        <v>31</v>
      </c>
      <c r="C2" s="30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1"/>
      <c r="R2" s="308" t="s">
        <v>32</v>
      </c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09"/>
      <c r="BJ2" s="312" t="s">
        <v>33</v>
      </c>
      <c r="BK2" s="312"/>
      <c r="BL2" s="312"/>
      <c r="BM2" s="312"/>
      <c r="BN2" s="312"/>
      <c r="BP2" s="289" t="s">
        <v>49</v>
      </c>
      <c r="BQ2" s="292" t="s">
        <v>50</v>
      </c>
      <c r="BR2" s="295" t="s">
        <v>51</v>
      </c>
    </row>
    <row r="3" spans="1:70" x14ac:dyDescent="0.2">
      <c r="A3" s="298" t="s">
        <v>34</v>
      </c>
      <c r="B3" s="300" t="s">
        <v>35</v>
      </c>
      <c r="C3" s="302" t="s">
        <v>36</v>
      </c>
      <c r="D3" s="208"/>
      <c r="E3" s="208"/>
      <c r="F3" s="208"/>
      <c r="G3" s="208"/>
      <c r="H3" s="208"/>
      <c r="I3" s="208"/>
      <c r="J3" s="208">
        <v>1900000</v>
      </c>
      <c r="K3" s="208">
        <v>3600000</v>
      </c>
      <c r="L3" s="208">
        <v>6600000</v>
      </c>
      <c r="M3" s="208">
        <v>8500000</v>
      </c>
      <c r="N3" s="208">
        <v>8500000</v>
      </c>
      <c r="O3" s="304" t="s">
        <v>37</v>
      </c>
      <c r="P3" s="13"/>
      <c r="Q3" s="298" t="s">
        <v>34</v>
      </c>
      <c r="R3" s="301" t="s">
        <v>35</v>
      </c>
      <c r="S3" s="311" t="s">
        <v>38</v>
      </c>
      <c r="T3" s="146"/>
      <c r="U3" s="33" t="s">
        <v>39</v>
      </c>
      <c r="V3" s="34">
        <v>600000</v>
      </c>
      <c r="W3" s="35">
        <v>1300000</v>
      </c>
      <c r="X3" s="35">
        <v>4100000</v>
      </c>
      <c r="Y3" s="35">
        <v>7700000</v>
      </c>
      <c r="Z3" s="35">
        <v>10000000</v>
      </c>
      <c r="AA3" s="36">
        <v>10000000</v>
      </c>
      <c r="AB3" s="34">
        <v>500000</v>
      </c>
      <c r="AC3" s="35">
        <v>1300000</v>
      </c>
      <c r="AD3" s="35">
        <v>4100000</v>
      </c>
      <c r="AE3" s="35">
        <v>7700000</v>
      </c>
      <c r="AF3" s="35">
        <v>10000000</v>
      </c>
      <c r="AG3" s="36">
        <v>10000000</v>
      </c>
      <c r="AH3" s="34">
        <v>400000</v>
      </c>
      <c r="AI3" s="35">
        <v>1300000</v>
      </c>
      <c r="AJ3" s="35">
        <v>4100000</v>
      </c>
      <c r="AK3" s="35">
        <v>7700000</v>
      </c>
      <c r="AL3" s="35">
        <v>10000000</v>
      </c>
      <c r="AM3" s="36">
        <v>10000000</v>
      </c>
      <c r="AN3" s="306" t="s">
        <v>37</v>
      </c>
      <c r="AO3" s="39" t="s">
        <v>41</v>
      </c>
      <c r="AP3" s="14">
        <v>1100000</v>
      </c>
      <c r="AQ3" s="15">
        <v>3300000</v>
      </c>
      <c r="AR3" s="15">
        <v>4100000</v>
      </c>
      <c r="AS3" s="15">
        <v>7700000</v>
      </c>
      <c r="AT3" s="15">
        <v>10000000</v>
      </c>
      <c r="AU3" s="16">
        <v>10000000</v>
      </c>
      <c r="AV3" s="14">
        <v>1000000</v>
      </c>
      <c r="AW3" s="15">
        <v>3300000</v>
      </c>
      <c r="AX3" s="15">
        <v>4100000</v>
      </c>
      <c r="AY3" s="15">
        <v>7700000</v>
      </c>
      <c r="AZ3" s="15">
        <v>10000000</v>
      </c>
      <c r="BA3" s="16">
        <v>10000000</v>
      </c>
      <c r="BB3" s="14">
        <v>900000</v>
      </c>
      <c r="BC3" s="15">
        <v>3300000</v>
      </c>
      <c r="BD3" s="15">
        <v>4100000</v>
      </c>
      <c r="BE3" s="15">
        <v>7700000</v>
      </c>
      <c r="BF3" s="15">
        <v>10000000</v>
      </c>
      <c r="BG3" s="16">
        <v>10000000</v>
      </c>
      <c r="BH3" s="306" t="s">
        <v>37</v>
      </c>
      <c r="BJ3" s="298" t="s">
        <v>34</v>
      </c>
      <c r="BK3" s="40" t="s">
        <v>48</v>
      </c>
      <c r="BL3" s="40" t="s">
        <v>48</v>
      </c>
      <c r="BM3" s="41" t="s">
        <v>41</v>
      </c>
      <c r="BN3" s="41" t="s">
        <v>41</v>
      </c>
      <c r="BP3" s="290"/>
      <c r="BQ3" s="293"/>
      <c r="BR3" s="296"/>
    </row>
    <row r="4" spans="1:70" x14ac:dyDescent="0.2">
      <c r="A4" s="299"/>
      <c r="B4" s="301"/>
      <c r="C4" s="303"/>
      <c r="D4" s="209"/>
      <c r="E4" s="209"/>
      <c r="F4" s="209"/>
      <c r="G4" s="209"/>
      <c r="H4" s="209"/>
      <c r="I4" s="209"/>
      <c r="J4" s="209" t="s">
        <v>42</v>
      </c>
      <c r="K4" s="209" t="s">
        <v>42</v>
      </c>
      <c r="L4" s="209" t="s">
        <v>42</v>
      </c>
      <c r="M4" s="209" t="s">
        <v>42</v>
      </c>
      <c r="N4" s="209" t="s">
        <v>43</v>
      </c>
      <c r="O4" s="305"/>
      <c r="P4" s="13"/>
      <c r="Q4" s="299"/>
      <c r="R4" s="301"/>
      <c r="S4" s="311"/>
      <c r="T4" s="146"/>
      <c r="U4" s="33" t="s">
        <v>36</v>
      </c>
      <c r="V4" s="37" t="s">
        <v>42</v>
      </c>
      <c r="W4" s="32" t="s">
        <v>42</v>
      </c>
      <c r="X4" s="32" t="s">
        <v>42</v>
      </c>
      <c r="Y4" s="32" t="s">
        <v>42</v>
      </c>
      <c r="Z4" s="32" t="s">
        <v>42</v>
      </c>
      <c r="AA4" s="38" t="s">
        <v>43</v>
      </c>
      <c r="AB4" s="37" t="s">
        <v>42</v>
      </c>
      <c r="AC4" s="32" t="s">
        <v>42</v>
      </c>
      <c r="AD4" s="32" t="s">
        <v>42</v>
      </c>
      <c r="AE4" s="32" t="s">
        <v>42</v>
      </c>
      <c r="AF4" s="32" t="s">
        <v>42</v>
      </c>
      <c r="AG4" s="38" t="s">
        <v>43</v>
      </c>
      <c r="AH4" s="37" t="s">
        <v>42</v>
      </c>
      <c r="AI4" s="32" t="s">
        <v>42</v>
      </c>
      <c r="AJ4" s="32" t="s">
        <v>42</v>
      </c>
      <c r="AK4" s="32" t="s">
        <v>42</v>
      </c>
      <c r="AL4" s="32" t="s">
        <v>42</v>
      </c>
      <c r="AM4" s="38" t="s">
        <v>43</v>
      </c>
      <c r="AN4" s="307"/>
      <c r="AO4" s="39" t="s">
        <v>44</v>
      </c>
      <c r="AP4" s="17" t="s">
        <v>42</v>
      </c>
      <c r="AQ4" s="18" t="s">
        <v>42</v>
      </c>
      <c r="AR4" s="18" t="s">
        <v>42</v>
      </c>
      <c r="AS4" s="18" t="s">
        <v>42</v>
      </c>
      <c r="AT4" s="18" t="s">
        <v>42</v>
      </c>
      <c r="AU4" s="19" t="s">
        <v>43</v>
      </c>
      <c r="AV4" s="17" t="s">
        <v>42</v>
      </c>
      <c r="AW4" s="18" t="s">
        <v>42</v>
      </c>
      <c r="AX4" s="18" t="s">
        <v>42</v>
      </c>
      <c r="AY4" s="18" t="s">
        <v>42</v>
      </c>
      <c r="AZ4" s="18" t="s">
        <v>42</v>
      </c>
      <c r="BA4" s="19" t="s">
        <v>43</v>
      </c>
      <c r="BB4" s="17" t="s">
        <v>42</v>
      </c>
      <c r="BC4" s="18" t="s">
        <v>42</v>
      </c>
      <c r="BD4" s="18" t="s">
        <v>42</v>
      </c>
      <c r="BE4" s="18" t="s">
        <v>42</v>
      </c>
      <c r="BF4" s="18" t="s">
        <v>42</v>
      </c>
      <c r="BG4" s="19" t="s">
        <v>43</v>
      </c>
      <c r="BH4" s="307"/>
      <c r="BJ4" s="299"/>
      <c r="BK4" s="145"/>
      <c r="BL4" s="145" t="s">
        <v>46</v>
      </c>
      <c r="BM4" s="145"/>
      <c r="BN4" s="145" t="s">
        <v>47</v>
      </c>
      <c r="BP4" s="291"/>
      <c r="BQ4" s="294"/>
      <c r="BR4" s="297"/>
    </row>
    <row r="5" spans="1:70" x14ac:dyDescent="0.2">
      <c r="A5" s="27" t="s">
        <v>45</v>
      </c>
      <c r="B5" s="150">
        <f>概算シート!G6</f>
        <v>0</v>
      </c>
      <c r="C5" s="30">
        <f>IF($B5&gt;0,$O5,0)</f>
        <v>0</v>
      </c>
      <c r="D5" s="210"/>
      <c r="E5" s="211"/>
      <c r="F5" s="211"/>
      <c r="G5" s="211"/>
      <c r="H5" s="211"/>
      <c r="I5" s="211"/>
      <c r="J5" s="211">
        <f t="shared" ref="J5:J14" si="0">IF(B5&lt;J$3,IF(B5&lt;=650000,0,B5-650000),0)</f>
        <v>0</v>
      </c>
      <c r="K5" s="211">
        <f t="shared" ref="K5:K14" si="1">IF(B5&lt;K$3,IF(B5&lt;J$3,0,TRUNC(B5/4000)*4000*0.7-180000+100000),0)</f>
        <v>0</v>
      </c>
      <c r="L5" s="211">
        <f t="shared" ref="L5:L14" si="2">IF(B5&lt;L$3,IF(B5&lt;K$3,0,TRUNC(B5/4000)*4000*0.8-540000+100000),0)</f>
        <v>0</v>
      </c>
      <c r="M5" s="211">
        <f t="shared" ref="M5:M14" si="3">IF(B5&lt;M$3,IF(B5&lt;L$3,0,ROUNDDOWN(B5*0.9,0)-1200000+100000),0)</f>
        <v>0</v>
      </c>
      <c r="N5" s="211">
        <f t="shared" ref="N5:N14" si="4">IF(B5&lt;M$3,0,B5-1950000)</f>
        <v>0</v>
      </c>
      <c r="O5" s="211">
        <f t="shared" ref="O5:O14" si="5">SUM(D5:N5)</f>
        <v>0</v>
      </c>
      <c r="P5" s="13"/>
      <c r="Q5" s="27" t="s">
        <v>45</v>
      </c>
      <c r="R5" s="151" t="s">
        <v>56</v>
      </c>
      <c r="S5" s="152" t="s">
        <v>56</v>
      </c>
      <c r="T5" s="151" t="s">
        <v>59</v>
      </c>
      <c r="U5" s="20" t="s">
        <v>56</v>
      </c>
      <c r="V5" s="21">
        <v>0</v>
      </c>
      <c r="W5" s="22">
        <f>IF($T5=1,IF($R5&lt;W$3,IF($R5&lt;V$3,0,$R5-600000),0),0)</f>
        <v>0</v>
      </c>
      <c r="X5" s="22">
        <f>IF($T5=1,IF($R5&lt;X$3,IF($R5&lt;W$3,0,TRUNC($R5*0.75-275000)),0),0)</f>
        <v>0</v>
      </c>
      <c r="Y5" s="22">
        <f>IF($T5=1,IF($R5&lt;Y$3,IF($R5&lt;X$3,0,TRUNC($R5*0.85-685000)),0),0)</f>
        <v>0</v>
      </c>
      <c r="Z5" s="22">
        <f>IF($T5=1,IF($R5&lt;Z$3,IF($R5&lt;Y$3,0,TRUNC($R5*0.95-1455000)),0),0)</f>
        <v>0</v>
      </c>
      <c r="AA5" s="23">
        <f>IF($T5=1,IF($R5&gt;Z$3-1,$R5-1955000,0),0)</f>
        <v>0</v>
      </c>
      <c r="AB5" s="21">
        <v>0</v>
      </c>
      <c r="AC5" s="22">
        <f>IF($T5=2,IF($R5&lt;AC$3,IF($R5&lt;AB$3,0,$R5-500000),0),0)</f>
        <v>0</v>
      </c>
      <c r="AD5" s="22">
        <f>IF($T5=2,IF($R5&lt;AD$3,IF($R5&lt;AC$3,0,TRUNC($R5*0.75-175000)),0),0)</f>
        <v>0</v>
      </c>
      <c r="AE5" s="22">
        <f>IF($T5=2,IF($R5&lt;AE$3,IF($R5&lt;AD$3,0,TRUNC($R5*0.85-585000)),0),0)</f>
        <v>0</v>
      </c>
      <c r="AF5" s="22">
        <f>IF($T5=2,IF($R5&lt;AF$3,IF($R5&lt;AE$3,0,TRUNC($R5*0.95-1355000)),0),0)</f>
        <v>0</v>
      </c>
      <c r="AG5" s="23">
        <f>IF($T5=2,IF($R5&gt;AF$3-1,$R5-1855000,0),0)</f>
        <v>0</v>
      </c>
      <c r="AH5" s="21">
        <v>0</v>
      </c>
      <c r="AI5" s="22">
        <f>IF($T5=3,IF($R5&lt;AI$3,IF($R5&lt;AH$3,0,$R5-400000),0),0)</f>
        <v>0</v>
      </c>
      <c r="AJ5" s="22">
        <f>IF($T5=3,IF($R5&lt;AJ$3,IF($R5&lt;AI$3,0,TRUNC($R5*0.75-75000)),0),0)</f>
        <v>0</v>
      </c>
      <c r="AK5" s="22">
        <f>IF($T5=3,IF($R5&lt;AK$3,IF($R5&lt;AJ$3,0,TRUNC($R5*0.85-485000)),0),0)</f>
        <v>0</v>
      </c>
      <c r="AL5" s="22">
        <f>IF($T5=3,IF($R5&lt;AL$3,IF($R5&lt;AK$3,0,TRUNC($R5*0.95-1255000)),0),0)</f>
        <v>0</v>
      </c>
      <c r="AM5" s="23">
        <f>IF($T5=3,IF($R5&gt;AL$3-1,$R5-1755000,0),0)</f>
        <v>0</v>
      </c>
      <c r="AN5" s="24">
        <f>SUM(V5:AM5)</f>
        <v>0</v>
      </c>
      <c r="AO5" s="25">
        <f>税率!D44</f>
        <v>0</v>
      </c>
      <c r="AP5" s="26">
        <v>0</v>
      </c>
      <c r="AQ5" s="27">
        <f>IF($T5=1,IF($R5&lt;AQ$3,IF($R5&lt;AP$3,0,$R5-1100000),0),0)</f>
        <v>0</v>
      </c>
      <c r="AR5" s="27">
        <f>IF($T5=1,IF($R5&lt;AR$3,IF($R5&lt;AQ$3,0,TRUNC($R5*0.75-275000)),0),0)</f>
        <v>0</v>
      </c>
      <c r="AS5" s="27">
        <f>IF($T5=1,IF($R5&lt;AS$3,IF($R5&lt;AR$3,0,TRUNC($R5*0.85-685000)),0),0)</f>
        <v>0</v>
      </c>
      <c r="AT5" s="27">
        <f>IF($T5=1,IF($R5&lt;AT$3,IF($R5&lt;AS$3,0,TRUNC($R5*0.95-1455000)),0),0)</f>
        <v>0</v>
      </c>
      <c r="AU5" s="28">
        <f>IF($T5=1,IF($R5&gt;AU$3-1,$R5-1955000,0),0)</f>
        <v>0</v>
      </c>
      <c r="AV5" s="26">
        <v>0</v>
      </c>
      <c r="AW5" s="27">
        <f>IF($T5=2,IF($R5&lt;AW$3,IF($R5&lt;AV$3,0,$R5-1000000),0),0)</f>
        <v>0</v>
      </c>
      <c r="AX5" s="27">
        <f>IF($T5=2,IF($R5&lt;AX$3,IF($R5&lt;AW$3,0,TRUNC($R5*0.75-175000)),0),0)</f>
        <v>0</v>
      </c>
      <c r="AY5" s="27">
        <f>IF($T5=2,IF($R5&lt;AY$3,IF($R5&lt;AX$3,0,TRUNC($R5*0.85-585000)),0),0)</f>
        <v>0</v>
      </c>
      <c r="AZ5" s="27">
        <f>IF($T5=2,IF($R5&lt;AZ$3,IF($R5&lt;AY$3,0,TRUNC($R5*0.95-1355000)),0),0)</f>
        <v>0</v>
      </c>
      <c r="BA5" s="28">
        <f>IF($T5=2,IF($R5&gt;BA$3-1,$R5-1855000,0),0)</f>
        <v>0</v>
      </c>
      <c r="BB5" s="26">
        <v>0</v>
      </c>
      <c r="BC5" s="27">
        <f>IF($T5=3,IF($R5&lt;BC$3,IF($R5&lt;BB$3,0,$R5-900000),0),0)</f>
        <v>0</v>
      </c>
      <c r="BD5" s="27">
        <f>IF($T5=3,IF($R5&lt;BD$3,IF($R5&lt;BC$3,0,TRUNC($R5*0.75-75000)),0),0)</f>
        <v>0</v>
      </c>
      <c r="BE5" s="27">
        <f>IF($T5=3,IF($R5&lt;BE$3,IF($R5&lt;BD$3,0,TRUNC($R5*0.85-485000)),0),0)</f>
        <v>0</v>
      </c>
      <c r="BF5" s="27">
        <f>IF($T5=3,IF($R5&lt;BF$3,IF($R5&lt;BE$3,0,TRUNC($R5*0.95-1255000)),0),0)</f>
        <v>0</v>
      </c>
      <c r="BG5" s="28">
        <f>IF($T5=3,IF($R5&gt;BG$3-1,$R5-1755000,0),0)</f>
        <v>0</v>
      </c>
      <c r="BH5" s="29">
        <f>SUM(AP5:BG5)</f>
        <v>0</v>
      </c>
      <c r="BJ5" s="27" t="s">
        <v>45</v>
      </c>
      <c r="BK5" s="42" t="e">
        <f>IF(AND(C5&gt;0,U5&gt;0,C5+U5&gt;100000),IF(C5+U5&gt;200000,100000,C5+U5-100000),0)</f>
        <v>#VALUE!</v>
      </c>
      <c r="BL5" s="42" t="s">
        <v>57</v>
      </c>
      <c r="BM5" s="42">
        <f>IF(AND(C5&gt;0,AO5&gt;0,C5+AO5&gt;100000),IF(C5+AO5&gt;200000,100000,C5+AO5-100000),0)</f>
        <v>0</v>
      </c>
      <c r="BN5" s="42">
        <f>IF(C5&gt;BM5,BM5,C5)</f>
        <v>0</v>
      </c>
      <c r="BP5" s="43">
        <f>税率!C44</f>
        <v>0</v>
      </c>
      <c r="BQ5" s="42" t="e">
        <f>IF(BP5=0,C5-BL5,C5-BN5)</f>
        <v>#VALUE!</v>
      </c>
      <c r="BR5" s="44" t="str">
        <f>IF(BP5=0,U5,AO5)</f>
        <v>-</v>
      </c>
    </row>
    <row r="6" spans="1:70" x14ac:dyDescent="0.2">
      <c r="A6" s="27" t="s">
        <v>9</v>
      </c>
      <c r="B6" s="150">
        <f>概算シート!G7</f>
        <v>0</v>
      </c>
      <c r="C6" s="30">
        <f>IF($B6&gt;0,$O6,0)</f>
        <v>0</v>
      </c>
      <c r="D6" s="210"/>
      <c r="E6" s="211"/>
      <c r="F6" s="211"/>
      <c r="G6" s="211"/>
      <c r="H6" s="211"/>
      <c r="I6" s="211"/>
      <c r="J6" s="211">
        <f t="shared" si="0"/>
        <v>0</v>
      </c>
      <c r="K6" s="211">
        <f t="shared" si="1"/>
        <v>0</v>
      </c>
      <c r="L6" s="211">
        <f t="shared" si="2"/>
        <v>0</v>
      </c>
      <c r="M6" s="211">
        <f t="shared" si="3"/>
        <v>0</v>
      </c>
      <c r="N6" s="211">
        <f t="shared" si="4"/>
        <v>0</v>
      </c>
      <c r="O6" s="211">
        <f t="shared" si="5"/>
        <v>0</v>
      </c>
      <c r="P6" s="13"/>
      <c r="Q6" s="27" t="s">
        <v>9</v>
      </c>
      <c r="R6" s="151" t="s">
        <v>56</v>
      </c>
      <c r="S6" s="152" t="s">
        <v>56</v>
      </c>
      <c r="T6" s="151" t="s">
        <v>60</v>
      </c>
      <c r="U6" s="20" t="s">
        <v>56</v>
      </c>
      <c r="V6" s="21">
        <v>0</v>
      </c>
      <c r="W6" s="22">
        <f t="shared" ref="W6:W14" si="6">IF($T6=1,IF($R6&lt;W$3,IF($R6&lt;V$3,0,$R6-600000),0),0)</f>
        <v>0</v>
      </c>
      <c r="X6" s="22">
        <f t="shared" ref="X6:X14" si="7">IF($T6=1,IF($R6&lt;X$3,IF($R6&lt;W$3,0,TRUNC($R6*0.75-275000)),0),0)</f>
        <v>0</v>
      </c>
      <c r="Y6" s="22">
        <f t="shared" ref="Y6:Y14" si="8">IF($T6=1,IF($R6&lt;Y$3,IF($R6&lt;X$3,0,TRUNC($R6*0.85-685000)),0),0)</f>
        <v>0</v>
      </c>
      <c r="Z6" s="22">
        <f t="shared" ref="Z6:Z14" si="9">IF($T6=1,IF($R6&lt;Z$3,IF($R6&lt;Y$3,0,TRUNC($R6*0.95-1455000)),0),0)</f>
        <v>0</v>
      </c>
      <c r="AA6" s="23">
        <f t="shared" ref="AA6:AA14" si="10">IF($T6=1,IF($R6&gt;Z$3-1,$R6-1955000,0),0)</f>
        <v>0</v>
      </c>
      <c r="AB6" s="21">
        <v>0</v>
      </c>
      <c r="AC6" s="22">
        <f t="shared" ref="AC6:AC14" si="11">IF($T6=2,IF($R6&lt;AC$3,IF($R6&lt;AB$3,0,$R6-500000),0),0)</f>
        <v>0</v>
      </c>
      <c r="AD6" s="22">
        <f t="shared" ref="AD6:AD14" si="12">IF($T6=2,IF($R6&lt;AD$3,IF($R6&lt;AC$3,0,TRUNC($R6*0.75-175000)),0),0)</f>
        <v>0</v>
      </c>
      <c r="AE6" s="22">
        <f t="shared" ref="AE6:AE14" si="13">IF($T6=2,IF($R6&lt;AE$3,IF($R6&lt;AD$3,0,TRUNC($R6*0.85-585000)),0),0)</f>
        <v>0</v>
      </c>
      <c r="AF6" s="22">
        <f t="shared" ref="AF6:AF14" si="14">IF($T6=2,IF($R6&lt;AF$3,IF($R6&lt;AE$3,0,TRUNC($R6*0.95-1355000)),0),0)</f>
        <v>0</v>
      </c>
      <c r="AG6" s="23">
        <f t="shared" ref="AG6:AG14" si="15">IF($T6=2,IF($R6&gt;AF$3-1,$R6-1855000,0),0)</f>
        <v>0</v>
      </c>
      <c r="AH6" s="21">
        <v>0</v>
      </c>
      <c r="AI6" s="22">
        <f>IF($T6=3,IF($R6&lt;AI$3,IF($R6&lt;AH$3,0,$R6-400000),0),0)</f>
        <v>0</v>
      </c>
      <c r="AJ6" s="22">
        <f>IF($T6=3,IF($R6&lt;AJ$3,IF($R6&lt;AI$3,0,TRUNC($R6*0.75-75000)),0),0)</f>
        <v>0</v>
      </c>
      <c r="AK6" s="22">
        <f>IF($T6=3,IF($R6&lt;AK$3,IF($R6&lt;AJ$3,0,TRUNC($R6*0.85-485000)),0),0)</f>
        <v>0</v>
      </c>
      <c r="AL6" s="22">
        <f>IF($T6=3,IF($R6&lt;AL$3,IF($R6&lt;AK$3,0,TRUNC($R6*0.95-1255000)),0),0)</f>
        <v>0</v>
      </c>
      <c r="AM6" s="23">
        <f>IF($T6=3,IF($R6&gt;AL$3-1,$R6-1755000,0),0)</f>
        <v>0</v>
      </c>
      <c r="AN6" s="24">
        <f t="shared" ref="AN6:AN14" si="16">SUM(V6:AM6)</f>
        <v>0</v>
      </c>
      <c r="AO6" s="25">
        <f>税率!D45</f>
        <v>0</v>
      </c>
      <c r="AP6" s="26">
        <v>0</v>
      </c>
      <c r="AQ6" s="27">
        <f>IF($T6=1,IF($R6&lt;AQ$3,IF($R6&lt;AP$3,0,$R6-1100000),0),0)</f>
        <v>0</v>
      </c>
      <c r="AR6" s="27">
        <f>IF($T6=1,IF($R6&lt;AR$3,IF($R6&lt;AQ$3,0,TRUNC($R6*0.75-275000)),0),0)</f>
        <v>0</v>
      </c>
      <c r="AS6" s="27">
        <f>IF($T6=1,IF($R6&lt;AS$3,IF($R6&lt;AR$3,0,TRUNC($R6*0.85-685000)),0),0)</f>
        <v>0</v>
      </c>
      <c r="AT6" s="27">
        <f>IF($T6=1,IF($R6&lt;AT$3,IF($R6&lt;AS$3,0,TRUNC($R6*0.95-1455000)),0),0)</f>
        <v>0</v>
      </c>
      <c r="AU6" s="28">
        <f>IF($T6=1,IF($R6&gt;AU$3-1,$R6-1955000,0),0)</f>
        <v>0</v>
      </c>
      <c r="AV6" s="26">
        <v>0</v>
      </c>
      <c r="AW6" s="27">
        <f t="shared" ref="AW6:AW14" si="17">IF($T6=2,IF($R6&lt;AW$3,IF($R6&lt;AV$3,0,$R6-1000000),0),0)</f>
        <v>0</v>
      </c>
      <c r="AX6" s="27">
        <f t="shared" ref="AX6:AX14" si="18">IF($T6=2,IF($R6&lt;AX$3,IF($R6&lt;AW$3,0,TRUNC($R6*0.75-175000)),0),0)</f>
        <v>0</v>
      </c>
      <c r="AY6" s="27">
        <f t="shared" ref="AY6:AY14" si="19">IF($T6=2,IF($R6&lt;AY$3,IF($R6&lt;AX$3,0,TRUNC($R6*0.85-585000)),0),0)</f>
        <v>0</v>
      </c>
      <c r="AZ6" s="27">
        <f t="shared" ref="AZ6:AZ14" si="20">IF($T6=2,IF($R6&lt;AZ$3,IF($R6&lt;AY$3,0,TRUNC($R6*0.95-1355000)),0),0)</f>
        <v>0</v>
      </c>
      <c r="BA6" s="28">
        <f t="shared" ref="BA6:BA14" si="21">IF($T6=2,IF($R6&gt;BA$3-1,$R6-1855000,0),0)</f>
        <v>0</v>
      </c>
      <c r="BB6" s="26">
        <v>0</v>
      </c>
      <c r="BC6" s="27">
        <f>IF($T6=3,IF($R6&lt;BC$3,IF($R6&lt;BB$3,0,$R6-900000),0),0)</f>
        <v>0</v>
      </c>
      <c r="BD6" s="27">
        <f>IF($T6=3,IF($R6&lt;BD$3,IF($R6&lt;BC$3,0,TRUNC($R6*0.75-75000)),0),0)</f>
        <v>0</v>
      </c>
      <c r="BE6" s="27">
        <f>IF($T6=3,IF($R6&lt;BE$3,IF($R6&lt;BD$3,0,TRUNC($R6*0.85-485000)),0),0)</f>
        <v>0</v>
      </c>
      <c r="BF6" s="27">
        <f>IF($T6=3,IF($R6&lt;BF$3,IF($R6&lt;BE$3,0,TRUNC($R6*0.95-1255000)),0),0)</f>
        <v>0</v>
      </c>
      <c r="BG6" s="28">
        <f>IF($T6=3,IF($R6&gt;BG$3-1,$R6-1755000,0),0)</f>
        <v>0</v>
      </c>
      <c r="BH6" s="29">
        <f t="shared" ref="BH6:BH9" si="22">SUM(AP6:BG6)</f>
        <v>0</v>
      </c>
      <c r="BJ6" s="27" t="s">
        <v>9</v>
      </c>
      <c r="BK6" s="42" t="e">
        <f t="shared" ref="BK6:BK14" si="23">IF(AND(C6&gt;0,U6&gt;0,C6+U6&gt;100000),IF(C6+U6&gt;200000,100000,C6+U6-100000),0)</f>
        <v>#VALUE!</v>
      </c>
      <c r="BL6" s="42" t="s">
        <v>57</v>
      </c>
      <c r="BM6" s="42">
        <f t="shared" ref="BM6:BM14" si="24">IF(AND(C6&gt;0,AO6&gt;0,C6+AO6&gt;100000),IF(C6+AO6&gt;200000,100000,C6+AO6-100000),0)</f>
        <v>0</v>
      </c>
      <c r="BN6" s="42">
        <f t="shared" ref="BN6:BN14" si="25">IF(C6&gt;BM6,BM6,C6)</f>
        <v>0</v>
      </c>
      <c r="BP6" s="43">
        <f>税率!C45</f>
        <v>0</v>
      </c>
      <c r="BQ6" s="42" t="e">
        <f t="shared" ref="BQ6:BQ14" si="26">IF(BP6=0,C6-BL6,C6-BN6)</f>
        <v>#VALUE!</v>
      </c>
      <c r="BR6" s="44" t="str">
        <f t="shared" ref="BR6:BR14" si="27">IF(BP6=0,U6,AO6)</f>
        <v>-</v>
      </c>
    </row>
    <row r="7" spans="1:70" x14ac:dyDescent="0.2">
      <c r="A7" s="27" t="s">
        <v>10</v>
      </c>
      <c r="B7" s="150">
        <f>概算シート!G8</f>
        <v>0</v>
      </c>
      <c r="C7" s="30">
        <f>IF($B7&gt;0,$O7,0)</f>
        <v>0</v>
      </c>
      <c r="D7" s="210"/>
      <c r="E7" s="211"/>
      <c r="F7" s="211"/>
      <c r="G7" s="211"/>
      <c r="H7" s="211"/>
      <c r="I7" s="211"/>
      <c r="J7" s="211">
        <f t="shared" si="0"/>
        <v>0</v>
      </c>
      <c r="K7" s="211">
        <f t="shared" si="1"/>
        <v>0</v>
      </c>
      <c r="L7" s="211">
        <f t="shared" si="2"/>
        <v>0</v>
      </c>
      <c r="M7" s="211">
        <f t="shared" si="3"/>
        <v>0</v>
      </c>
      <c r="N7" s="211">
        <f t="shared" si="4"/>
        <v>0</v>
      </c>
      <c r="O7" s="211">
        <f t="shared" si="5"/>
        <v>0</v>
      </c>
      <c r="P7" s="13"/>
      <c r="Q7" s="27" t="s">
        <v>10</v>
      </c>
      <c r="R7" s="151" t="s">
        <v>56</v>
      </c>
      <c r="S7" s="152" t="s">
        <v>56</v>
      </c>
      <c r="T7" s="151" t="s">
        <v>59</v>
      </c>
      <c r="U7" s="20" t="s">
        <v>56</v>
      </c>
      <c r="V7" s="21">
        <v>0</v>
      </c>
      <c r="W7" s="22">
        <f t="shared" si="6"/>
        <v>0</v>
      </c>
      <c r="X7" s="22">
        <f t="shared" si="7"/>
        <v>0</v>
      </c>
      <c r="Y7" s="22">
        <f t="shared" si="8"/>
        <v>0</v>
      </c>
      <c r="Z7" s="22">
        <f t="shared" si="9"/>
        <v>0</v>
      </c>
      <c r="AA7" s="23">
        <f t="shared" si="10"/>
        <v>0</v>
      </c>
      <c r="AB7" s="21">
        <v>0</v>
      </c>
      <c r="AC7" s="22">
        <f t="shared" si="11"/>
        <v>0</v>
      </c>
      <c r="AD7" s="22">
        <f t="shared" si="12"/>
        <v>0</v>
      </c>
      <c r="AE7" s="22">
        <f t="shared" si="13"/>
        <v>0</v>
      </c>
      <c r="AF7" s="22">
        <f t="shared" si="14"/>
        <v>0</v>
      </c>
      <c r="AG7" s="23">
        <f t="shared" si="15"/>
        <v>0</v>
      </c>
      <c r="AH7" s="21">
        <v>0</v>
      </c>
      <c r="AI7" s="22">
        <f>IF($T7=3,IF($R7&lt;AI$3,IF($R7&lt;AH$3,0,$R7-400000),0),0)</f>
        <v>0</v>
      </c>
      <c r="AJ7" s="22">
        <f>IF($T7=3,IF($R7&lt;AJ$3,IF($R7&lt;AI$3,0,TRUNC($R7*0.75-75000)),0),0)</f>
        <v>0</v>
      </c>
      <c r="AK7" s="22">
        <f>IF($T7=3,IF($R7&lt;AK$3,IF($R7&lt;AJ$3,0,TRUNC($R7*0.85-485000)),0),0)</f>
        <v>0</v>
      </c>
      <c r="AL7" s="22">
        <f>IF($T7=3,IF($R7&lt;AL$3,IF($R7&lt;AK$3,0,TRUNC($R7*0.95-1255000)),0),0)</f>
        <v>0</v>
      </c>
      <c r="AM7" s="23">
        <f>IF($T7=3,IF($R7&gt;AL$3-1,$R7-1755000,0),0)</f>
        <v>0</v>
      </c>
      <c r="AN7" s="24">
        <f t="shared" si="16"/>
        <v>0</v>
      </c>
      <c r="AO7" s="25">
        <f>税率!D46</f>
        <v>0</v>
      </c>
      <c r="AP7" s="26">
        <v>0</v>
      </c>
      <c r="AQ7" s="27">
        <f>IF($T7=1,IF($R7&lt;AQ$3,IF($R7&lt;AP$3,0,$R7-1100000),0),0)</f>
        <v>0</v>
      </c>
      <c r="AR7" s="27">
        <f>IF($T7=1,IF($R7&lt;AR$3,IF($R7&lt;AQ$3,0,TRUNC($R7*0.75-275000)),0),0)</f>
        <v>0</v>
      </c>
      <c r="AS7" s="27">
        <f>IF($T7=1,IF($R7&lt;AS$3,IF($R7&lt;AR$3,0,TRUNC($R7*0.85-685000)),0),0)</f>
        <v>0</v>
      </c>
      <c r="AT7" s="27">
        <f>IF($T7=1,IF($R7&lt;AT$3,IF($R7&lt;AS$3,0,TRUNC($R7*0.95-1455000)),0),0)</f>
        <v>0</v>
      </c>
      <c r="AU7" s="28">
        <f>IF($T7=1,IF($R7&gt;AU$3-1,$R7-1955000,0),0)</f>
        <v>0</v>
      </c>
      <c r="AV7" s="26">
        <v>0</v>
      </c>
      <c r="AW7" s="27">
        <f t="shared" si="17"/>
        <v>0</v>
      </c>
      <c r="AX7" s="27">
        <f t="shared" si="18"/>
        <v>0</v>
      </c>
      <c r="AY7" s="27">
        <f t="shared" si="19"/>
        <v>0</v>
      </c>
      <c r="AZ7" s="27">
        <f t="shared" si="20"/>
        <v>0</v>
      </c>
      <c r="BA7" s="28">
        <f t="shared" si="21"/>
        <v>0</v>
      </c>
      <c r="BB7" s="26">
        <v>0</v>
      </c>
      <c r="BC7" s="27">
        <f>IF($T7=3,IF($R7&lt;BC$3,IF($R7&lt;BB$3,0,$R7-900000),0),0)</f>
        <v>0</v>
      </c>
      <c r="BD7" s="27">
        <f>IF($T7=3,IF($R7&lt;BD$3,IF($R7&lt;BC$3,0,TRUNC($R7*0.75-75000)),0),0)</f>
        <v>0</v>
      </c>
      <c r="BE7" s="27">
        <f>IF($T7=3,IF($R7&lt;BE$3,IF($R7&lt;BD$3,0,TRUNC($R7*0.85-485000)),0),0)</f>
        <v>0</v>
      </c>
      <c r="BF7" s="27">
        <f>IF($T7=3,IF($R7&lt;BF$3,IF($R7&lt;BE$3,0,TRUNC($R7*0.95-1255000)),0),0)</f>
        <v>0</v>
      </c>
      <c r="BG7" s="28">
        <f>IF($T7=3,IF($R7&gt;BG$3-1,$R7-1755000,0),0)</f>
        <v>0</v>
      </c>
      <c r="BH7" s="29">
        <f t="shared" si="22"/>
        <v>0</v>
      </c>
      <c r="BJ7" s="27" t="s">
        <v>10</v>
      </c>
      <c r="BK7" s="42" t="e">
        <f t="shared" si="23"/>
        <v>#VALUE!</v>
      </c>
      <c r="BL7" s="42" t="s">
        <v>57</v>
      </c>
      <c r="BM7" s="42">
        <f t="shared" si="24"/>
        <v>0</v>
      </c>
      <c r="BN7" s="42">
        <f t="shared" si="25"/>
        <v>0</v>
      </c>
      <c r="BP7" s="43">
        <f>税率!C46</f>
        <v>0</v>
      </c>
      <c r="BQ7" s="42" t="e">
        <f t="shared" si="26"/>
        <v>#VALUE!</v>
      </c>
      <c r="BR7" s="44" t="str">
        <f t="shared" si="27"/>
        <v>-</v>
      </c>
    </row>
    <row r="8" spans="1:70" x14ac:dyDescent="0.2">
      <c r="A8" s="27" t="s">
        <v>11</v>
      </c>
      <c r="B8" s="150">
        <f>概算シート!G9</f>
        <v>0</v>
      </c>
      <c r="C8" s="30">
        <f>IF($B8&gt;0,$O8,0)</f>
        <v>0</v>
      </c>
      <c r="D8" s="210"/>
      <c r="E8" s="211"/>
      <c r="F8" s="211"/>
      <c r="G8" s="211"/>
      <c r="H8" s="211"/>
      <c r="I8" s="211"/>
      <c r="J8" s="211">
        <f t="shared" si="0"/>
        <v>0</v>
      </c>
      <c r="K8" s="211">
        <f t="shared" si="1"/>
        <v>0</v>
      </c>
      <c r="L8" s="211">
        <f t="shared" si="2"/>
        <v>0</v>
      </c>
      <c r="M8" s="211">
        <f t="shared" si="3"/>
        <v>0</v>
      </c>
      <c r="N8" s="211">
        <f t="shared" si="4"/>
        <v>0</v>
      </c>
      <c r="O8" s="211">
        <f t="shared" si="5"/>
        <v>0</v>
      </c>
      <c r="P8" s="13"/>
      <c r="Q8" s="27" t="s">
        <v>11</v>
      </c>
      <c r="R8" s="151" t="s">
        <v>56</v>
      </c>
      <c r="S8" s="152" t="s">
        <v>56</v>
      </c>
      <c r="T8" s="151" t="s">
        <v>59</v>
      </c>
      <c r="U8" s="20" t="s">
        <v>56</v>
      </c>
      <c r="V8" s="21">
        <v>0</v>
      </c>
      <c r="W8" s="22">
        <f t="shared" si="6"/>
        <v>0</v>
      </c>
      <c r="X8" s="22">
        <f t="shared" si="7"/>
        <v>0</v>
      </c>
      <c r="Y8" s="22">
        <f t="shared" si="8"/>
        <v>0</v>
      </c>
      <c r="Z8" s="22">
        <f t="shared" si="9"/>
        <v>0</v>
      </c>
      <c r="AA8" s="23">
        <f t="shared" si="10"/>
        <v>0</v>
      </c>
      <c r="AB8" s="21">
        <v>0</v>
      </c>
      <c r="AC8" s="22">
        <f t="shared" si="11"/>
        <v>0</v>
      </c>
      <c r="AD8" s="22">
        <f t="shared" si="12"/>
        <v>0</v>
      </c>
      <c r="AE8" s="22">
        <f t="shared" si="13"/>
        <v>0</v>
      </c>
      <c r="AF8" s="22">
        <f t="shared" si="14"/>
        <v>0</v>
      </c>
      <c r="AG8" s="23">
        <f t="shared" si="15"/>
        <v>0</v>
      </c>
      <c r="AH8" s="21">
        <v>0</v>
      </c>
      <c r="AI8" s="22">
        <f t="shared" ref="AI8:AI14" si="28">IF($T8=3,IF($R8&lt;AI$3,IF($R8&lt;AH$3,0,$R8-400000),0),0)</f>
        <v>0</v>
      </c>
      <c r="AJ8" s="22">
        <f t="shared" ref="AJ8:AJ14" si="29">IF($T8=3,IF($R8&lt;AJ$3,IF($R8&lt;AI$3,0,TRUNC($R8*0.75-75000)),0),0)</f>
        <v>0</v>
      </c>
      <c r="AK8" s="22">
        <f t="shared" ref="AK8:AK14" si="30">IF($T8=3,IF($R8&lt;AK$3,IF($R8&lt;AJ$3,0,TRUNC($R8*0.85-485000)),0),0)</f>
        <v>0</v>
      </c>
      <c r="AL8" s="22">
        <f t="shared" ref="AL8:AL14" si="31">IF($T8=3,IF($R8&lt;AL$3,IF($R8&lt;AK$3,0,TRUNC($R8*0.95-1255000)),0),0)</f>
        <v>0</v>
      </c>
      <c r="AM8" s="23">
        <f t="shared" ref="AM8:AM14" si="32">IF($T8=3,IF($R8&gt;AL$3-1,$R8-1755000,0),0)</f>
        <v>0</v>
      </c>
      <c r="AN8" s="24">
        <f t="shared" si="16"/>
        <v>0</v>
      </c>
      <c r="AO8" s="25">
        <f>税率!D47</f>
        <v>0</v>
      </c>
      <c r="AP8" s="26">
        <v>0</v>
      </c>
      <c r="AQ8" s="27">
        <f t="shared" ref="AQ8:AQ14" si="33">IF($T8=1,IF($R8&lt;AQ$3,IF($R8&lt;AP$3,0,$R8-1100000),0),0)</f>
        <v>0</v>
      </c>
      <c r="AR8" s="27">
        <f t="shared" ref="AR8:AR14" si="34">IF($T8=1,IF($R8&lt;AR$3,IF($R8&lt;AQ$3,0,TRUNC($R8*0.75-275000)),0),0)</f>
        <v>0</v>
      </c>
      <c r="AS8" s="27">
        <f t="shared" ref="AS8:AS14" si="35">IF($T8=1,IF($R8&lt;AS$3,IF($R8&lt;AR$3,0,TRUNC($R8*0.85-685000)),0),0)</f>
        <v>0</v>
      </c>
      <c r="AT8" s="27">
        <f t="shared" ref="AT8:AT14" si="36">IF($T8=1,IF($R8&lt;AT$3,IF($R8&lt;AS$3,0,TRUNC($R8*0.95-1455000)),0),0)</f>
        <v>0</v>
      </c>
      <c r="AU8" s="28">
        <f t="shared" ref="AU8:AU14" si="37">IF($T8=1,IF($R8&gt;AU$3-1,$R8-1955000,0),0)</f>
        <v>0</v>
      </c>
      <c r="AV8" s="26">
        <v>0</v>
      </c>
      <c r="AW8" s="27">
        <f t="shared" si="17"/>
        <v>0</v>
      </c>
      <c r="AX8" s="27">
        <f t="shared" si="18"/>
        <v>0</v>
      </c>
      <c r="AY8" s="27">
        <f t="shared" si="19"/>
        <v>0</v>
      </c>
      <c r="AZ8" s="27">
        <f t="shared" si="20"/>
        <v>0</v>
      </c>
      <c r="BA8" s="28">
        <f t="shared" si="21"/>
        <v>0</v>
      </c>
      <c r="BB8" s="26">
        <v>0</v>
      </c>
      <c r="BC8" s="27">
        <f t="shared" ref="BC8:BC14" si="38">IF($T8=3,IF($R8&lt;BC$3,IF($R8&lt;BB$3,0,$R8-900000),0),0)</f>
        <v>0</v>
      </c>
      <c r="BD8" s="27">
        <f t="shared" ref="BD8:BD14" si="39">IF($T8=3,IF($R8&lt;BD$3,IF($R8&lt;BC$3,0,TRUNC($R8*0.75-75000)),0),0)</f>
        <v>0</v>
      </c>
      <c r="BE8" s="27">
        <f t="shared" ref="BE8:BE14" si="40">IF($T8=3,IF($R8&lt;BE$3,IF($R8&lt;BD$3,0,TRUNC($R8*0.85-485000)),0),0)</f>
        <v>0</v>
      </c>
      <c r="BF8" s="27">
        <f t="shared" ref="BF8:BF14" si="41">IF($T8=3,IF($R8&lt;BF$3,IF($R8&lt;BE$3,0,TRUNC($R8*0.95-1255000)),0),0)</f>
        <v>0</v>
      </c>
      <c r="BG8" s="28">
        <f t="shared" ref="BG8:BG14" si="42">IF($T8=3,IF($R8&gt;BG$3-1,$R8-1755000,0),0)</f>
        <v>0</v>
      </c>
      <c r="BH8" s="29">
        <f t="shared" si="22"/>
        <v>0</v>
      </c>
      <c r="BJ8" s="27" t="s">
        <v>11</v>
      </c>
      <c r="BK8" s="42" t="e">
        <f t="shared" si="23"/>
        <v>#VALUE!</v>
      </c>
      <c r="BL8" s="42" t="s">
        <v>57</v>
      </c>
      <c r="BM8" s="42">
        <f t="shared" si="24"/>
        <v>0</v>
      </c>
      <c r="BN8" s="42">
        <f t="shared" si="25"/>
        <v>0</v>
      </c>
      <c r="BP8" s="43">
        <f>税率!C47</f>
        <v>0</v>
      </c>
      <c r="BQ8" s="42" t="e">
        <f t="shared" si="26"/>
        <v>#VALUE!</v>
      </c>
      <c r="BR8" s="44" t="str">
        <f t="shared" si="27"/>
        <v>-</v>
      </c>
    </row>
    <row r="9" spans="1:70" x14ac:dyDescent="0.2">
      <c r="A9" s="27" t="s">
        <v>12</v>
      </c>
      <c r="B9" s="150">
        <f>概算シート!G10</f>
        <v>0</v>
      </c>
      <c r="C9" s="30">
        <f>IF($B9&gt;0,$O9,0)</f>
        <v>0</v>
      </c>
      <c r="D9" s="210"/>
      <c r="E9" s="211"/>
      <c r="F9" s="211"/>
      <c r="G9" s="211"/>
      <c r="H9" s="211"/>
      <c r="I9" s="211"/>
      <c r="J9" s="211">
        <f t="shared" si="0"/>
        <v>0</v>
      </c>
      <c r="K9" s="211">
        <f t="shared" si="1"/>
        <v>0</v>
      </c>
      <c r="L9" s="211">
        <f t="shared" si="2"/>
        <v>0</v>
      </c>
      <c r="M9" s="211">
        <f t="shared" si="3"/>
        <v>0</v>
      </c>
      <c r="N9" s="211">
        <f t="shared" si="4"/>
        <v>0</v>
      </c>
      <c r="O9" s="211">
        <f t="shared" si="5"/>
        <v>0</v>
      </c>
      <c r="P9" s="13"/>
      <c r="Q9" s="27" t="s">
        <v>12</v>
      </c>
      <c r="R9" s="151" t="s">
        <v>56</v>
      </c>
      <c r="S9" s="152" t="s">
        <v>56</v>
      </c>
      <c r="T9" s="151" t="s">
        <v>59</v>
      </c>
      <c r="U9" s="20" t="s">
        <v>56</v>
      </c>
      <c r="V9" s="21">
        <v>0</v>
      </c>
      <c r="W9" s="22">
        <f t="shared" si="6"/>
        <v>0</v>
      </c>
      <c r="X9" s="22">
        <f t="shared" si="7"/>
        <v>0</v>
      </c>
      <c r="Y9" s="22">
        <f t="shared" si="8"/>
        <v>0</v>
      </c>
      <c r="Z9" s="22">
        <f t="shared" si="9"/>
        <v>0</v>
      </c>
      <c r="AA9" s="23">
        <f t="shared" si="10"/>
        <v>0</v>
      </c>
      <c r="AB9" s="21">
        <v>0</v>
      </c>
      <c r="AC9" s="22">
        <f t="shared" si="11"/>
        <v>0</v>
      </c>
      <c r="AD9" s="22">
        <f t="shared" si="12"/>
        <v>0</v>
      </c>
      <c r="AE9" s="22">
        <f t="shared" si="13"/>
        <v>0</v>
      </c>
      <c r="AF9" s="22">
        <f t="shared" si="14"/>
        <v>0</v>
      </c>
      <c r="AG9" s="23">
        <f t="shared" si="15"/>
        <v>0</v>
      </c>
      <c r="AH9" s="21">
        <v>0</v>
      </c>
      <c r="AI9" s="22">
        <f t="shared" si="28"/>
        <v>0</v>
      </c>
      <c r="AJ9" s="22">
        <f t="shared" si="29"/>
        <v>0</v>
      </c>
      <c r="AK9" s="22">
        <f t="shared" si="30"/>
        <v>0</v>
      </c>
      <c r="AL9" s="22">
        <f t="shared" si="31"/>
        <v>0</v>
      </c>
      <c r="AM9" s="23">
        <f t="shared" si="32"/>
        <v>0</v>
      </c>
      <c r="AN9" s="24">
        <f t="shared" si="16"/>
        <v>0</v>
      </c>
      <c r="AO9" s="25">
        <f>税率!D48</f>
        <v>0</v>
      </c>
      <c r="AP9" s="26">
        <v>0</v>
      </c>
      <c r="AQ9" s="27">
        <f t="shared" si="33"/>
        <v>0</v>
      </c>
      <c r="AR9" s="27">
        <f t="shared" si="34"/>
        <v>0</v>
      </c>
      <c r="AS9" s="27">
        <f t="shared" si="35"/>
        <v>0</v>
      </c>
      <c r="AT9" s="27">
        <f t="shared" si="36"/>
        <v>0</v>
      </c>
      <c r="AU9" s="28">
        <f t="shared" si="37"/>
        <v>0</v>
      </c>
      <c r="AV9" s="26">
        <v>0</v>
      </c>
      <c r="AW9" s="27">
        <f t="shared" si="17"/>
        <v>0</v>
      </c>
      <c r="AX9" s="27">
        <f t="shared" si="18"/>
        <v>0</v>
      </c>
      <c r="AY9" s="27">
        <f t="shared" si="19"/>
        <v>0</v>
      </c>
      <c r="AZ9" s="27">
        <f t="shared" si="20"/>
        <v>0</v>
      </c>
      <c r="BA9" s="28">
        <f t="shared" si="21"/>
        <v>0</v>
      </c>
      <c r="BB9" s="26">
        <v>0</v>
      </c>
      <c r="BC9" s="27">
        <f t="shared" si="38"/>
        <v>0</v>
      </c>
      <c r="BD9" s="27">
        <f t="shared" si="39"/>
        <v>0</v>
      </c>
      <c r="BE9" s="27">
        <f t="shared" si="40"/>
        <v>0</v>
      </c>
      <c r="BF9" s="27">
        <f t="shared" si="41"/>
        <v>0</v>
      </c>
      <c r="BG9" s="28">
        <f t="shared" si="42"/>
        <v>0</v>
      </c>
      <c r="BH9" s="29">
        <f t="shared" si="22"/>
        <v>0</v>
      </c>
      <c r="BJ9" s="27" t="s">
        <v>12</v>
      </c>
      <c r="BK9" s="42" t="e">
        <f t="shared" si="23"/>
        <v>#VALUE!</v>
      </c>
      <c r="BL9" s="42" t="s">
        <v>58</v>
      </c>
      <c r="BM9" s="42">
        <f t="shared" si="24"/>
        <v>0</v>
      </c>
      <c r="BN9" s="42">
        <f t="shared" si="25"/>
        <v>0</v>
      </c>
      <c r="BP9" s="43">
        <f>税率!C48</f>
        <v>0</v>
      </c>
      <c r="BQ9" s="42" t="e">
        <f t="shared" si="26"/>
        <v>#VALUE!</v>
      </c>
      <c r="BR9" s="44" t="str">
        <f t="shared" si="27"/>
        <v>-</v>
      </c>
    </row>
    <row r="10" spans="1:70" x14ac:dyDescent="0.2">
      <c r="A10" s="27" t="s">
        <v>13</v>
      </c>
      <c r="B10" s="150">
        <f>概算シート!G11</f>
        <v>0</v>
      </c>
      <c r="C10" s="30">
        <f t="shared" ref="C10:C14" si="43">IF($B10&gt;0,$O10,0)</f>
        <v>0</v>
      </c>
      <c r="D10" s="210"/>
      <c r="E10" s="211"/>
      <c r="F10" s="211"/>
      <c r="G10" s="211"/>
      <c r="H10" s="211"/>
      <c r="I10" s="211"/>
      <c r="J10" s="211">
        <f t="shared" si="0"/>
        <v>0</v>
      </c>
      <c r="K10" s="211">
        <f t="shared" si="1"/>
        <v>0</v>
      </c>
      <c r="L10" s="211">
        <f t="shared" si="2"/>
        <v>0</v>
      </c>
      <c r="M10" s="211">
        <f t="shared" si="3"/>
        <v>0</v>
      </c>
      <c r="N10" s="211">
        <f t="shared" si="4"/>
        <v>0</v>
      </c>
      <c r="O10" s="211">
        <f t="shared" si="5"/>
        <v>0</v>
      </c>
      <c r="P10" s="13"/>
      <c r="Q10" s="27" t="s">
        <v>13</v>
      </c>
      <c r="R10" s="151" t="s">
        <v>56</v>
      </c>
      <c r="S10" s="152" t="s">
        <v>56</v>
      </c>
      <c r="T10" s="151" t="s">
        <v>59</v>
      </c>
      <c r="U10" s="20" t="s">
        <v>56</v>
      </c>
      <c r="V10" s="21">
        <v>0</v>
      </c>
      <c r="W10" s="22">
        <f t="shared" si="6"/>
        <v>0</v>
      </c>
      <c r="X10" s="22">
        <f t="shared" si="7"/>
        <v>0</v>
      </c>
      <c r="Y10" s="22">
        <f t="shared" si="8"/>
        <v>0</v>
      </c>
      <c r="Z10" s="22">
        <f t="shared" si="9"/>
        <v>0</v>
      </c>
      <c r="AA10" s="23">
        <f t="shared" si="10"/>
        <v>0</v>
      </c>
      <c r="AB10" s="21">
        <v>0</v>
      </c>
      <c r="AC10" s="22">
        <f t="shared" si="11"/>
        <v>0</v>
      </c>
      <c r="AD10" s="22">
        <f t="shared" si="12"/>
        <v>0</v>
      </c>
      <c r="AE10" s="22">
        <f t="shared" si="13"/>
        <v>0</v>
      </c>
      <c r="AF10" s="22">
        <f t="shared" si="14"/>
        <v>0</v>
      </c>
      <c r="AG10" s="23">
        <f t="shared" si="15"/>
        <v>0</v>
      </c>
      <c r="AH10" s="21">
        <v>0</v>
      </c>
      <c r="AI10" s="22">
        <f t="shared" si="28"/>
        <v>0</v>
      </c>
      <c r="AJ10" s="22">
        <f t="shared" si="29"/>
        <v>0</v>
      </c>
      <c r="AK10" s="22">
        <f t="shared" si="30"/>
        <v>0</v>
      </c>
      <c r="AL10" s="22">
        <f t="shared" si="31"/>
        <v>0</v>
      </c>
      <c r="AM10" s="23">
        <f t="shared" si="32"/>
        <v>0</v>
      </c>
      <c r="AN10" s="24">
        <f t="shared" si="16"/>
        <v>0</v>
      </c>
      <c r="AO10" s="25">
        <f>税率!D49</f>
        <v>0</v>
      </c>
      <c r="AP10" s="26">
        <v>0</v>
      </c>
      <c r="AQ10" s="27">
        <f t="shared" si="33"/>
        <v>0</v>
      </c>
      <c r="AR10" s="27">
        <f t="shared" si="34"/>
        <v>0</v>
      </c>
      <c r="AS10" s="27">
        <f t="shared" si="35"/>
        <v>0</v>
      </c>
      <c r="AT10" s="27">
        <f t="shared" si="36"/>
        <v>0</v>
      </c>
      <c r="AU10" s="28">
        <f t="shared" si="37"/>
        <v>0</v>
      </c>
      <c r="AV10" s="26">
        <v>0</v>
      </c>
      <c r="AW10" s="27">
        <f t="shared" si="17"/>
        <v>0</v>
      </c>
      <c r="AX10" s="27">
        <f t="shared" si="18"/>
        <v>0</v>
      </c>
      <c r="AY10" s="27">
        <f t="shared" si="19"/>
        <v>0</v>
      </c>
      <c r="AZ10" s="27">
        <f t="shared" si="20"/>
        <v>0</v>
      </c>
      <c r="BA10" s="28">
        <f t="shared" si="21"/>
        <v>0</v>
      </c>
      <c r="BB10" s="26">
        <v>0</v>
      </c>
      <c r="BC10" s="27">
        <f t="shared" si="38"/>
        <v>0</v>
      </c>
      <c r="BD10" s="27">
        <f t="shared" si="39"/>
        <v>0</v>
      </c>
      <c r="BE10" s="27">
        <f t="shared" si="40"/>
        <v>0</v>
      </c>
      <c r="BF10" s="27">
        <f t="shared" si="41"/>
        <v>0</v>
      </c>
      <c r="BG10" s="28">
        <f t="shared" si="42"/>
        <v>0</v>
      </c>
      <c r="BH10" s="29">
        <f t="shared" ref="BH10:BH14" si="44">SUM(AP10:AU10)</f>
        <v>0</v>
      </c>
      <c r="BJ10" s="27" t="s">
        <v>13</v>
      </c>
      <c r="BK10" s="42" t="e">
        <f t="shared" si="23"/>
        <v>#VALUE!</v>
      </c>
      <c r="BL10" s="42" t="s">
        <v>57</v>
      </c>
      <c r="BM10" s="42">
        <f t="shared" si="24"/>
        <v>0</v>
      </c>
      <c r="BN10" s="42">
        <f t="shared" si="25"/>
        <v>0</v>
      </c>
      <c r="BP10" s="43">
        <f>税率!C49</f>
        <v>0</v>
      </c>
      <c r="BQ10" s="42" t="e">
        <f t="shared" si="26"/>
        <v>#VALUE!</v>
      </c>
      <c r="BR10" s="44" t="str">
        <f t="shared" si="27"/>
        <v>-</v>
      </c>
    </row>
    <row r="11" spans="1:70" x14ac:dyDescent="0.2">
      <c r="A11" s="27" t="s">
        <v>14</v>
      </c>
      <c r="B11" s="150">
        <f>概算シート!G12</f>
        <v>0</v>
      </c>
      <c r="C11" s="30">
        <f t="shared" si="43"/>
        <v>0</v>
      </c>
      <c r="D11" s="210"/>
      <c r="E11" s="211"/>
      <c r="F11" s="211"/>
      <c r="G11" s="211"/>
      <c r="H11" s="211"/>
      <c r="I11" s="211"/>
      <c r="J11" s="211">
        <f t="shared" si="0"/>
        <v>0</v>
      </c>
      <c r="K11" s="211">
        <f t="shared" si="1"/>
        <v>0</v>
      </c>
      <c r="L11" s="211">
        <f t="shared" si="2"/>
        <v>0</v>
      </c>
      <c r="M11" s="211">
        <f t="shared" si="3"/>
        <v>0</v>
      </c>
      <c r="N11" s="211">
        <f t="shared" si="4"/>
        <v>0</v>
      </c>
      <c r="O11" s="211">
        <f t="shared" si="5"/>
        <v>0</v>
      </c>
      <c r="P11" s="13"/>
      <c r="Q11" s="27" t="s">
        <v>14</v>
      </c>
      <c r="R11" s="151" t="s">
        <v>56</v>
      </c>
      <c r="S11" s="152" t="s">
        <v>56</v>
      </c>
      <c r="T11" s="151" t="s">
        <v>59</v>
      </c>
      <c r="U11" s="20" t="s">
        <v>56</v>
      </c>
      <c r="V11" s="21">
        <v>0</v>
      </c>
      <c r="W11" s="22">
        <f t="shared" si="6"/>
        <v>0</v>
      </c>
      <c r="X11" s="22">
        <f t="shared" si="7"/>
        <v>0</v>
      </c>
      <c r="Y11" s="22">
        <f t="shared" si="8"/>
        <v>0</v>
      </c>
      <c r="Z11" s="22">
        <f t="shared" si="9"/>
        <v>0</v>
      </c>
      <c r="AA11" s="23">
        <f t="shared" si="10"/>
        <v>0</v>
      </c>
      <c r="AB11" s="21">
        <v>0</v>
      </c>
      <c r="AC11" s="22">
        <f t="shared" si="11"/>
        <v>0</v>
      </c>
      <c r="AD11" s="22">
        <f t="shared" si="12"/>
        <v>0</v>
      </c>
      <c r="AE11" s="22">
        <f t="shared" si="13"/>
        <v>0</v>
      </c>
      <c r="AF11" s="22">
        <f t="shared" si="14"/>
        <v>0</v>
      </c>
      <c r="AG11" s="23">
        <f t="shared" si="15"/>
        <v>0</v>
      </c>
      <c r="AH11" s="21">
        <v>0</v>
      </c>
      <c r="AI11" s="22">
        <f t="shared" si="28"/>
        <v>0</v>
      </c>
      <c r="AJ11" s="22">
        <f t="shared" si="29"/>
        <v>0</v>
      </c>
      <c r="AK11" s="22">
        <f t="shared" si="30"/>
        <v>0</v>
      </c>
      <c r="AL11" s="22">
        <f t="shared" si="31"/>
        <v>0</v>
      </c>
      <c r="AM11" s="23">
        <f t="shared" si="32"/>
        <v>0</v>
      </c>
      <c r="AN11" s="24">
        <f t="shared" si="16"/>
        <v>0</v>
      </c>
      <c r="AO11" s="25">
        <f>税率!D50</f>
        <v>0</v>
      </c>
      <c r="AP11" s="26">
        <v>0</v>
      </c>
      <c r="AQ11" s="27">
        <f t="shared" si="33"/>
        <v>0</v>
      </c>
      <c r="AR11" s="27">
        <f t="shared" si="34"/>
        <v>0</v>
      </c>
      <c r="AS11" s="27">
        <f t="shared" si="35"/>
        <v>0</v>
      </c>
      <c r="AT11" s="27">
        <f t="shared" si="36"/>
        <v>0</v>
      </c>
      <c r="AU11" s="28">
        <f t="shared" si="37"/>
        <v>0</v>
      </c>
      <c r="AV11" s="26">
        <v>0</v>
      </c>
      <c r="AW11" s="27">
        <f t="shared" si="17"/>
        <v>0</v>
      </c>
      <c r="AX11" s="27">
        <f t="shared" si="18"/>
        <v>0</v>
      </c>
      <c r="AY11" s="27">
        <f t="shared" si="19"/>
        <v>0</v>
      </c>
      <c r="AZ11" s="27">
        <f t="shared" si="20"/>
        <v>0</v>
      </c>
      <c r="BA11" s="28">
        <f t="shared" si="21"/>
        <v>0</v>
      </c>
      <c r="BB11" s="26">
        <v>0</v>
      </c>
      <c r="BC11" s="27">
        <f t="shared" si="38"/>
        <v>0</v>
      </c>
      <c r="BD11" s="27">
        <f t="shared" si="39"/>
        <v>0</v>
      </c>
      <c r="BE11" s="27">
        <f t="shared" si="40"/>
        <v>0</v>
      </c>
      <c r="BF11" s="27">
        <f t="shared" si="41"/>
        <v>0</v>
      </c>
      <c r="BG11" s="28">
        <f t="shared" si="42"/>
        <v>0</v>
      </c>
      <c r="BH11" s="29">
        <f t="shared" si="44"/>
        <v>0</v>
      </c>
      <c r="BJ11" s="27" t="s">
        <v>14</v>
      </c>
      <c r="BK11" s="42" t="e">
        <f t="shared" si="23"/>
        <v>#VALUE!</v>
      </c>
      <c r="BL11" s="42" t="s">
        <v>57</v>
      </c>
      <c r="BM11" s="42">
        <f t="shared" si="24"/>
        <v>0</v>
      </c>
      <c r="BN11" s="42">
        <f t="shared" si="25"/>
        <v>0</v>
      </c>
      <c r="BP11" s="43">
        <f>税率!C50</f>
        <v>0</v>
      </c>
      <c r="BQ11" s="42" t="e">
        <f t="shared" si="26"/>
        <v>#VALUE!</v>
      </c>
      <c r="BR11" s="44" t="str">
        <f t="shared" si="27"/>
        <v>-</v>
      </c>
    </row>
    <row r="12" spans="1:70" x14ac:dyDescent="0.2">
      <c r="A12" s="27" t="s">
        <v>15</v>
      </c>
      <c r="B12" s="150">
        <f>概算シート!G13</f>
        <v>0</v>
      </c>
      <c r="C12" s="30">
        <f t="shared" si="43"/>
        <v>0</v>
      </c>
      <c r="D12" s="210"/>
      <c r="E12" s="211"/>
      <c r="F12" s="211"/>
      <c r="G12" s="211"/>
      <c r="H12" s="211"/>
      <c r="I12" s="211"/>
      <c r="J12" s="211">
        <f t="shared" si="0"/>
        <v>0</v>
      </c>
      <c r="K12" s="211">
        <f t="shared" si="1"/>
        <v>0</v>
      </c>
      <c r="L12" s="211">
        <f t="shared" si="2"/>
        <v>0</v>
      </c>
      <c r="M12" s="211">
        <f t="shared" si="3"/>
        <v>0</v>
      </c>
      <c r="N12" s="211">
        <f t="shared" si="4"/>
        <v>0</v>
      </c>
      <c r="O12" s="211">
        <f t="shared" si="5"/>
        <v>0</v>
      </c>
      <c r="P12" s="13"/>
      <c r="Q12" s="27" t="s">
        <v>15</v>
      </c>
      <c r="R12" s="151" t="s">
        <v>56</v>
      </c>
      <c r="S12" s="152" t="s">
        <v>56</v>
      </c>
      <c r="T12" s="151" t="s">
        <v>56</v>
      </c>
      <c r="U12" s="20" t="s">
        <v>56</v>
      </c>
      <c r="V12" s="21">
        <v>0</v>
      </c>
      <c r="W12" s="22">
        <f t="shared" si="6"/>
        <v>0</v>
      </c>
      <c r="X12" s="22">
        <f t="shared" si="7"/>
        <v>0</v>
      </c>
      <c r="Y12" s="22">
        <f t="shared" si="8"/>
        <v>0</v>
      </c>
      <c r="Z12" s="22">
        <f t="shared" si="9"/>
        <v>0</v>
      </c>
      <c r="AA12" s="23">
        <f t="shared" si="10"/>
        <v>0</v>
      </c>
      <c r="AB12" s="21">
        <v>0</v>
      </c>
      <c r="AC12" s="22">
        <f t="shared" si="11"/>
        <v>0</v>
      </c>
      <c r="AD12" s="22">
        <f t="shared" si="12"/>
        <v>0</v>
      </c>
      <c r="AE12" s="22">
        <f t="shared" si="13"/>
        <v>0</v>
      </c>
      <c r="AF12" s="22">
        <f t="shared" si="14"/>
        <v>0</v>
      </c>
      <c r="AG12" s="23">
        <f t="shared" si="15"/>
        <v>0</v>
      </c>
      <c r="AH12" s="21">
        <v>0</v>
      </c>
      <c r="AI12" s="22">
        <f t="shared" si="28"/>
        <v>0</v>
      </c>
      <c r="AJ12" s="22">
        <f t="shared" si="29"/>
        <v>0</v>
      </c>
      <c r="AK12" s="22">
        <f t="shared" si="30"/>
        <v>0</v>
      </c>
      <c r="AL12" s="22">
        <f t="shared" si="31"/>
        <v>0</v>
      </c>
      <c r="AM12" s="23">
        <f t="shared" si="32"/>
        <v>0</v>
      </c>
      <c r="AN12" s="24">
        <f t="shared" si="16"/>
        <v>0</v>
      </c>
      <c r="AO12" s="25">
        <f>税率!D51</f>
        <v>0</v>
      </c>
      <c r="AP12" s="26">
        <v>0</v>
      </c>
      <c r="AQ12" s="27">
        <f t="shared" si="33"/>
        <v>0</v>
      </c>
      <c r="AR12" s="27">
        <f t="shared" si="34"/>
        <v>0</v>
      </c>
      <c r="AS12" s="27">
        <f t="shared" si="35"/>
        <v>0</v>
      </c>
      <c r="AT12" s="27">
        <f t="shared" si="36"/>
        <v>0</v>
      </c>
      <c r="AU12" s="28">
        <f t="shared" si="37"/>
        <v>0</v>
      </c>
      <c r="AV12" s="26">
        <v>0</v>
      </c>
      <c r="AW12" s="27">
        <f t="shared" si="17"/>
        <v>0</v>
      </c>
      <c r="AX12" s="27">
        <f t="shared" si="18"/>
        <v>0</v>
      </c>
      <c r="AY12" s="27">
        <f t="shared" si="19"/>
        <v>0</v>
      </c>
      <c r="AZ12" s="27">
        <f t="shared" si="20"/>
        <v>0</v>
      </c>
      <c r="BA12" s="28">
        <f t="shared" si="21"/>
        <v>0</v>
      </c>
      <c r="BB12" s="26">
        <v>0</v>
      </c>
      <c r="BC12" s="27">
        <f t="shared" si="38"/>
        <v>0</v>
      </c>
      <c r="BD12" s="27">
        <f t="shared" si="39"/>
        <v>0</v>
      </c>
      <c r="BE12" s="27">
        <f t="shared" si="40"/>
        <v>0</v>
      </c>
      <c r="BF12" s="27">
        <f t="shared" si="41"/>
        <v>0</v>
      </c>
      <c r="BG12" s="28">
        <f t="shared" si="42"/>
        <v>0</v>
      </c>
      <c r="BH12" s="29">
        <f t="shared" si="44"/>
        <v>0</v>
      </c>
      <c r="BJ12" s="27" t="s">
        <v>15</v>
      </c>
      <c r="BK12" s="42" t="e">
        <f t="shared" si="23"/>
        <v>#VALUE!</v>
      </c>
      <c r="BL12" s="42" t="s">
        <v>57</v>
      </c>
      <c r="BM12" s="42">
        <f t="shared" si="24"/>
        <v>0</v>
      </c>
      <c r="BN12" s="42">
        <f t="shared" si="25"/>
        <v>0</v>
      </c>
      <c r="BP12" s="43">
        <f>税率!C51</f>
        <v>0</v>
      </c>
      <c r="BQ12" s="42" t="e">
        <f t="shared" si="26"/>
        <v>#VALUE!</v>
      </c>
      <c r="BR12" s="44" t="str">
        <f t="shared" si="27"/>
        <v>-</v>
      </c>
    </row>
    <row r="13" spans="1:70" x14ac:dyDescent="0.2">
      <c r="A13" s="27" t="s">
        <v>16</v>
      </c>
      <c r="B13" s="150">
        <f>概算シート!G14</f>
        <v>0</v>
      </c>
      <c r="C13" s="30">
        <f t="shared" si="43"/>
        <v>0</v>
      </c>
      <c r="D13" s="210"/>
      <c r="E13" s="211"/>
      <c r="F13" s="211"/>
      <c r="G13" s="211"/>
      <c r="H13" s="211"/>
      <c r="I13" s="211"/>
      <c r="J13" s="211">
        <f t="shared" si="0"/>
        <v>0</v>
      </c>
      <c r="K13" s="211">
        <f t="shared" si="1"/>
        <v>0</v>
      </c>
      <c r="L13" s="211">
        <f t="shared" si="2"/>
        <v>0</v>
      </c>
      <c r="M13" s="211">
        <f t="shared" si="3"/>
        <v>0</v>
      </c>
      <c r="N13" s="211">
        <f t="shared" si="4"/>
        <v>0</v>
      </c>
      <c r="O13" s="211">
        <f t="shared" si="5"/>
        <v>0</v>
      </c>
      <c r="P13" s="13"/>
      <c r="Q13" s="27" t="s">
        <v>16</v>
      </c>
      <c r="R13" s="151" t="s">
        <v>56</v>
      </c>
      <c r="S13" s="152" t="s">
        <v>56</v>
      </c>
      <c r="T13" s="151" t="s">
        <v>61</v>
      </c>
      <c r="U13" s="20" t="s">
        <v>56</v>
      </c>
      <c r="V13" s="21">
        <v>0</v>
      </c>
      <c r="W13" s="22">
        <f t="shared" si="6"/>
        <v>0</v>
      </c>
      <c r="X13" s="22">
        <f t="shared" si="7"/>
        <v>0</v>
      </c>
      <c r="Y13" s="22">
        <f t="shared" si="8"/>
        <v>0</v>
      </c>
      <c r="Z13" s="22">
        <f t="shared" si="9"/>
        <v>0</v>
      </c>
      <c r="AA13" s="23">
        <f t="shared" si="10"/>
        <v>0</v>
      </c>
      <c r="AB13" s="21">
        <v>0</v>
      </c>
      <c r="AC13" s="22">
        <f t="shared" si="11"/>
        <v>0</v>
      </c>
      <c r="AD13" s="22">
        <f t="shared" si="12"/>
        <v>0</v>
      </c>
      <c r="AE13" s="22">
        <f t="shared" si="13"/>
        <v>0</v>
      </c>
      <c r="AF13" s="22">
        <f t="shared" si="14"/>
        <v>0</v>
      </c>
      <c r="AG13" s="23">
        <f t="shared" si="15"/>
        <v>0</v>
      </c>
      <c r="AH13" s="21">
        <v>0</v>
      </c>
      <c r="AI13" s="22">
        <f t="shared" si="28"/>
        <v>0</v>
      </c>
      <c r="AJ13" s="22">
        <f t="shared" si="29"/>
        <v>0</v>
      </c>
      <c r="AK13" s="22">
        <f t="shared" si="30"/>
        <v>0</v>
      </c>
      <c r="AL13" s="22">
        <f t="shared" si="31"/>
        <v>0</v>
      </c>
      <c r="AM13" s="23">
        <f t="shared" si="32"/>
        <v>0</v>
      </c>
      <c r="AN13" s="24">
        <f t="shared" si="16"/>
        <v>0</v>
      </c>
      <c r="AO13" s="25">
        <f>税率!D52</f>
        <v>0</v>
      </c>
      <c r="AP13" s="26">
        <v>0</v>
      </c>
      <c r="AQ13" s="27">
        <f t="shared" si="33"/>
        <v>0</v>
      </c>
      <c r="AR13" s="27">
        <f t="shared" si="34"/>
        <v>0</v>
      </c>
      <c r="AS13" s="27">
        <f t="shared" si="35"/>
        <v>0</v>
      </c>
      <c r="AT13" s="27">
        <f t="shared" si="36"/>
        <v>0</v>
      </c>
      <c r="AU13" s="28">
        <f t="shared" si="37"/>
        <v>0</v>
      </c>
      <c r="AV13" s="26">
        <v>0</v>
      </c>
      <c r="AW13" s="27">
        <f t="shared" si="17"/>
        <v>0</v>
      </c>
      <c r="AX13" s="27">
        <f t="shared" si="18"/>
        <v>0</v>
      </c>
      <c r="AY13" s="27">
        <f t="shared" si="19"/>
        <v>0</v>
      </c>
      <c r="AZ13" s="27">
        <f t="shared" si="20"/>
        <v>0</v>
      </c>
      <c r="BA13" s="28">
        <f t="shared" si="21"/>
        <v>0</v>
      </c>
      <c r="BB13" s="26">
        <v>0</v>
      </c>
      <c r="BC13" s="27">
        <f t="shared" si="38"/>
        <v>0</v>
      </c>
      <c r="BD13" s="27">
        <f t="shared" si="39"/>
        <v>0</v>
      </c>
      <c r="BE13" s="27">
        <f t="shared" si="40"/>
        <v>0</v>
      </c>
      <c r="BF13" s="27">
        <f t="shared" si="41"/>
        <v>0</v>
      </c>
      <c r="BG13" s="28">
        <f t="shared" si="42"/>
        <v>0</v>
      </c>
      <c r="BH13" s="29">
        <f t="shared" si="44"/>
        <v>0</v>
      </c>
      <c r="BJ13" s="27" t="s">
        <v>16</v>
      </c>
      <c r="BK13" s="42" t="e">
        <f t="shared" si="23"/>
        <v>#VALUE!</v>
      </c>
      <c r="BL13" s="42" t="s">
        <v>58</v>
      </c>
      <c r="BM13" s="42">
        <f t="shared" si="24"/>
        <v>0</v>
      </c>
      <c r="BN13" s="42">
        <f t="shared" si="25"/>
        <v>0</v>
      </c>
      <c r="BP13" s="43">
        <f>税率!C52</f>
        <v>0</v>
      </c>
      <c r="BQ13" s="42" t="e">
        <f t="shared" si="26"/>
        <v>#VALUE!</v>
      </c>
      <c r="BR13" s="44" t="str">
        <f t="shared" si="27"/>
        <v>-</v>
      </c>
    </row>
    <row r="14" spans="1:70" x14ac:dyDescent="0.2">
      <c r="A14" s="27" t="s">
        <v>17</v>
      </c>
      <c r="B14" s="150">
        <f>概算シート!G15</f>
        <v>0</v>
      </c>
      <c r="C14" s="30">
        <f t="shared" si="43"/>
        <v>0</v>
      </c>
      <c r="D14" s="210"/>
      <c r="E14" s="211"/>
      <c r="F14" s="211"/>
      <c r="G14" s="211"/>
      <c r="H14" s="211"/>
      <c r="I14" s="211"/>
      <c r="J14" s="211">
        <f t="shared" si="0"/>
        <v>0</v>
      </c>
      <c r="K14" s="211">
        <f t="shared" si="1"/>
        <v>0</v>
      </c>
      <c r="L14" s="211">
        <f t="shared" si="2"/>
        <v>0</v>
      </c>
      <c r="M14" s="211">
        <f t="shared" si="3"/>
        <v>0</v>
      </c>
      <c r="N14" s="211">
        <f t="shared" si="4"/>
        <v>0</v>
      </c>
      <c r="O14" s="211">
        <f t="shared" si="5"/>
        <v>0</v>
      </c>
      <c r="P14" s="13"/>
      <c r="Q14" s="27" t="s">
        <v>17</v>
      </c>
      <c r="R14" s="151" t="s">
        <v>56</v>
      </c>
      <c r="S14" s="152" t="s">
        <v>56</v>
      </c>
      <c r="T14" s="151" t="s">
        <v>59</v>
      </c>
      <c r="U14" s="20" t="s">
        <v>56</v>
      </c>
      <c r="V14" s="21">
        <v>0</v>
      </c>
      <c r="W14" s="22">
        <f t="shared" si="6"/>
        <v>0</v>
      </c>
      <c r="X14" s="22">
        <f t="shared" si="7"/>
        <v>0</v>
      </c>
      <c r="Y14" s="22">
        <f t="shared" si="8"/>
        <v>0</v>
      </c>
      <c r="Z14" s="22">
        <f t="shared" si="9"/>
        <v>0</v>
      </c>
      <c r="AA14" s="23">
        <f t="shared" si="10"/>
        <v>0</v>
      </c>
      <c r="AB14" s="21">
        <v>0</v>
      </c>
      <c r="AC14" s="22">
        <f t="shared" si="11"/>
        <v>0</v>
      </c>
      <c r="AD14" s="22">
        <f t="shared" si="12"/>
        <v>0</v>
      </c>
      <c r="AE14" s="22">
        <f t="shared" si="13"/>
        <v>0</v>
      </c>
      <c r="AF14" s="22">
        <f t="shared" si="14"/>
        <v>0</v>
      </c>
      <c r="AG14" s="23">
        <f t="shared" si="15"/>
        <v>0</v>
      </c>
      <c r="AH14" s="21">
        <v>0</v>
      </c>
      <c r="AI14" s="22">
        <f t="shared" si="28"/>
        <v>0</v>
      </c>
      <c r="AJ14" s="22">
        <f t="shared" si="29"/>
        <v>0</v>
      </c>
      <c r="AK14" s="22">
        <f t="shared" si="30"/>
        <v>0</v>
      </c>
      <c r="AL14" s="22">
        <f t="shared" si="31"/>
        <v>0</v>
      </c>
      <c r="AM14" s="23">
        <f t="shared" si="32"/>
        <v>0</v>
      </c>
      <c r="AN14" s="24">
        <f t="shared" si="16"/>
        <v>0</v>
      </c>
      <c r="AO14" s="25">
        <f>税率!D53</f>
        <v>0</v>
      </c>
      <c r="AP14" s="26">
        <v>0</v>
      </c>
      <c r="AQ14" s="27">
        <f t="shared" si="33"/>
        <v>0</v>
      </c>
      <c r="AR14" s="27">
        <f t="shared" si="34"/>
        <v>0</v>
      </c>
      <c r="AS14" s="27">
        <f t="shared" si="35"/>
        <v>0</v>
      </c>
      <c r="AT14" s="27">
        <f t="shared" si="36"/>
        <v>0</v>
      </c>
      <c r="AU14" s="28">
        <f t="shared" si="37"/>
        <v>0</v>
      </c>
      <c r="AV14" s="26">
        <v>0</v>
      </c>
      <c r="AW14" s="27">
        <f t="shared" si="17"/>
        <v>0</v>
      </c>
      <c r="AX14" s="27">
        <f t="shared" si="18"/>
        <v>0</v>
      </c>
      <c r="AY14" s="27">
        <f t="shared" si="19"/>
        <v>0</v>
      </c>
      <c r="AZ14" s="27">
        <f t="shared" si="20"/>
        <v>0</v>
      </c>
      <c r="BA14" s="28">
        <f t="shared" si="21"/>
        <v>0</v>
      </c>
      <c r="BB14" s="26">
        <v>0</v>
      </c>
      <c r="BC14" s="27">
        <f t="shared" si="38"/>
        <v>0</v>
      </c>
      <c r="BD14" s="27">
        <f t="shared" si="39"/>
        <v>0</v>
      </c>
      <c r="BE14" s="27">
        <f t="shared" si="40"/>
        <v>0</v>
      </c>
      <c r="BF14" s="27">
        <f t="shared" si="41"/>
        <v>0</v>
      </c>
      <c r="BG14" s="28">
        <f t="shared" si="42"/>
        <v>0</v>
      </c>
      <c r="BH14" s="29">
        <f t="shared" si="44"/>
        <v>0</v>
      </c>
      <c r="BJ14" s="27" t="s">
        <v>17</v>
      </c>
      <c r="BK14" s="42" t="e">
        <f t="shared" si="23"/>
        <v>#VALUE!</v>
      </c>
      <c r="BL14" s="42" t="s">
        <v>57</v>
      </c>
      <c r="BM14" s="42">
        <f t="shared" si="24"/>
        <v>0</v>
      </c>
      <c r="BN14" s="42">
        <f t="shared" si="25"/>
        <v>0</v>
      </c>
      <c r="BP14" s="43">
        <f>税率!C53</f>
        <v>0</v>
      </c>
      <c r="BQ14" s="42" t="e">
        <f t="shared" si="26"/>
        <v>#VALUE!</v>
      </c>
      <c r="BR14" s="44" t="str">
        <f t="shared" si="27"/>
        <v>-</v>
      </c>
    </row>
  </sheetData>
  <sheetProtection formatCells="0" selectLockedCells="1"/>
  <mergeCells count="16">
    <mergeCell ref="BQ2:BQ4"/>
    <mergeCell ref="BR2:BR4"/>
    <mergeCell ref="S3:S4"/>
    <mergeCell ref="AN3:AN4"/>
    <mergeCell ref="BH3:BH4"/>
    <mergeCell ref="BJ3:BJ4"/>
    <mergeCell ref="R3:R4"/>
    <mergeCell ref="B2:C2"/>
    <mergeCell ref="R2:AO2"/>
    <mergeCell ref="BJ2:BN2"/>
    <mergeCell ref="BP2:BP4"/>
    <mergeCell ref="A3:A4"/>
    <mergeCell ref="B3:B4"/>
    <mergeCell ref="C3:C4"/>
    <mergeCell ref="O3:O4"/>
    <mergeCell ref="Q3:Q4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8"/>
  <sheetViews>
    <sheetView topLeftCell="A66" workbookViewId="0">
      <selection activeCell="B1" sqref="B1"/>
    </sheetView>
  </sheetViews>
  <sheetFormatPr defaultRowHeight="13.3" x14ac:dyDescent="0.2"/>
  <cols>
    <col min="1" max="1" width="4.19921875" customWidth="1"/>
    <col min="2" max="2" width="10.19921875" customWidth="1"/>
    <col min="3" max="3" width="9.69921875" bestFit="1" customWidth="1"/>
    <col min="4" max="4" width="3.3984375" bestFit="1" customWidth="1"/>
    <col min="5" max="5" width="9.5" bestFit="1" customWidth="1"/>
    <col min="6" max="6" width="13.59765625" customWidth="1"/>
    <col min="7" max="7" width="15.19921875" customWidth="1"/>
    <col min="8" max="19" width="7.8984375" customWidth="1"/>
  </cols>
  <sheetData>
    <row r="1" spans="1:7" ht="13.85" thickBot="1" x14ac:dyDescent="0.25"/>
    <row r="2" spans="1:7" ht="31.75" customHeight="1" thickBot="1" x14ac:dyDescent="0.25">
      <c r="B2" s="52">
        <f>税率!B1</f>
        <v>2026</v>
      </c>
      <c r="C2" t="s">
        <v>73</v>
      </c>
      <c r="F2" s="53" t="s">
        <v>82</v>
      </c>
      <c r="G2">
        <f>IF(概算シート!B18&lt;4,概算シート!B18+12,概算シート!B18)</f>
        <v>4</v>
      </c>
    </row>
    <row r="3" spans="1:7" ht="40.450000000000003" thickBot="1" x14ac:dyDescent="0.25">
      <c r="A3" t="s">
        <v>74</v>
      </c>
      <c r="F3" s="45" t="s">
        <v>81</v>
      </c>
      <c r="G3" s="66" t="s">
        <v>80</v>
      </c>
    </row>
    <row r="4" spans="1:7" x14ac:dyDescent="0.2">
      <c r="A4" s="63"/>
      <c r="B4" s="64"/>
      <c r="C4" s="65">
        <v>0</v>
      </c>
      <c r="D4" s="64"/>
      <c r="E4" s="64"/>
      <c r="F4" s="64">
        <v>0</v>
      </c>
      <c r="G4" s="70">
        <v>0</v>
      </c>
    </row>
    <row r="5" spans="1:7" x14ac:dyDescent="0.2">
      <c r="A5" s="314" t="s">
        <v>78</v>
      </c>
      <c r="B5" s="54">
        <v>4</v>
      </c>
      <c r="C5" s="55">
        <f>DATE($B$2-65,B5+1,2)</f>
        <v>22403</v>
      </c>
      <c r="D5" s="56" t="s">
        <v>75</v>
      </c>
      <c r="E5" s="57">
        <f>DATE($B$2-65,B5+2,1)</f>
        <v>22433</v>
      </c>
      <c r="F5" s="67">
        <v>1</v>
      </c>
      <c r="G5" s="71">
        <f>IF(F5-(G$2-4)&lt;0,0,F5-(G$2-4))</f>
        <v>1</v>
      </c>
    </row>
    <row r="6" spans="1:7" x14ac:dyDescent="0.2">
      <c r="A6" s="314"/>
      <c r="B6" s="54">
        <v>5</v>
      </c>
      <c r="C6" s="55">
        <f t="shared" ref="C6:C13" si="0">DATE($B$2-65,B6+1,2)</f>
        <v>22434</v>
      </c>
      <c r="D6" s="56" t="s">
        <v>76</v>
      </c>
      <c r="E6" s="57">
        <f t="shared" ref="E6:E13" si="1">DATE($B$2-65,B6+2,1)</f>
        <v>22463</v>
      </c>
      <c r="F6" s="67">
        <v>2</v>
      </c>
      <c r="G6" s="71">
        <f t="shared" ref="G6:G16" si="2">IF(F6-(G$2-4)&lt;0,0,F6-(G$2-4))</f>
        <v>2</v>
      </c>
    </row>
    <row r="7" spans="1:7" x14ac:dyDescent="0.2">
      <c r="A7" s="314"/>
      <c r="B7" s="54">
        <v>6</v>
      </c>
      <c r="C7" s="55">
        <f t="shared" si="0"/>
        <v>22464</v>
      </c>
      <c r="D7" s="56" t="s">
        <v>76</v>
      </c>
      <c r="E7" s="57">
        <f t="shared" si="1"/>
        <v>22494</v>
      </c>
      <c r="F7" s="67">
        <v>3</v>
      </c>
      <c r="G7" s="71">
        <f t="shared" si="2"/>
        <v>3</v>
      </c>
    </row>
    <row r="8" spans="1:7" x14ac:dyDescent="0.2">
      <c r="A8" s="314"/>
      <c r="B8" s="54">
        <v>7</v>
      </c>
      <c r="C8" s="55">
        <f t="shared" si="0"/>
        <v>22495</v>
      </c>
      <c r="D8" s="56" t="s">
        <v>75</v>
      </c>
      <c r="E8" s="57">
        <f t="shared" si="1"/>
        <v>22525</v>
      </c>
      <c r="F8" s="67">
        <v>4</v>
      </c>
      <c r="G8" s="71">
        <f t="shared" si="2"/>
        <v>4</v>
      </c>
    </row>
    <row r="9" spans="1:7" x14ac:dyDescent="0.2">
      <c r="A9" s="314"/>
      <c r="B9" s="54">
        <v>8</v>
      </c>
      <c r="C9" s="55">
        <f t="shared" si="0"/>
        <v>22526</v>
      </c>
      <c r="D9" s="56" t="s">
        <v>76</v>
      </c>
      <c r="E9" s="57">
        <f t="shared" si="1"/>
        <v>22555</v>
      </c>
      <c r="F9" s="67">
        <v>5</v>
      </c>
      <c r="G9" s="71">
        <f t="shared" si="2"/>
        <v>5</v>
      </c>
    </row>
    <row r="10" spans="1:7" x14ac:dyDescent="0.2">
      <c r="A10" s="314"/>
      <c r="B10" s="54">
        <v>9</v>
      </c>
      <c r="C10" s="55">
        <f t="shared" si="0"/>
        <v>22556</v>
      </c>
      <c r="D10" s="56" t="s">
        <v>75</v>
      </c>
      <c r="E10" s="57">
        <f t="shared" si="1"/>
        <v>22586</v>
      </c>
      <c r="F10" s="67">
        <v>6</v>
      </c>
      <c r="G10" s="71">
        <f t="shared" si="2"/>
        <v>6</v>
      </c>
    </row>
    <row r="11" spans="1:7" x14ac:dyDescent="0.2">
      <c r="A11" s="314"/>
      <c r="B11" s="54">
        <v>10</v>
      </c>
      <c r="C11" s="55">
        <f t="shared" si="0"/>
        <v>22587</v>
      </c>
      <c r="D11" s="56" t="s">
        <v>76</v>
      </c>
      <c r="E11" s="57">
        <f t="shared" si="1"/>
        <v>22616</v>
      </c>
      <c r="F11" s="67">
        <v>7</v>
      </c>
      <c r="G11" s="71">
        <f t="shared" si="2"/>
        <v>7</v>
      </c>
    </row>
    <row r="12" spans="1:7" x14ac:dyDescent="0.2">
      <c r="A12" s="314"/>
      <c r="B12" s="54">
        <v>11</v>
      </c>
      <c r="C12" s="55">
        <f t="shared" si="0"/>
        <v>22617</v>
      </c>
      <c r="D12" s="56" t="s">
        <v>75</v>
      </c>
      <c r="E12" s="57">
        <f t="shared" si="1"/>
        <v>22647</v>
      </c>
      <c r="F12" s="67">
        <v>8</v>
      </c>
      <c r="G12" s="71">
        <f t="shared" si="2"/>
        <v>8</v>
      </c>
    </row>
    <row r="13" spans="1:7" x14ac:dyDescent="0.2">
      <c r="A13" s="314"/>
      <c r="B13" s="54">
        <v>12</v>
      </c>
      <c r="C13" s="55">
        <f t="shared" si="0"/>
        <v>22648</v>
      </c>
      <c r="D13" s="56" t="s">
        <v>75</v>
      </c>
      <c r="E13" s="57">
        <f t="shared" si="1"/>
        <v>22678</v>
      </c>
      <c r="F13" s="67">
        <v>9</v>
      </c>
      <c r="G13" s="71">
        <f t="shared" si="2"/>
        <v>9</v>
      </c>
    </row>
    <row r="14" spans="1:7" x14ac:dyDescent="0.2">
      <c r="A14" s="314"/>
      <c r="B14" s="54">
        <v>1</v>
      </c>
      <c r="C14" s="55">
        <f>DATE($B$2-64,B14+1,2)</f>
        <v>22679</v>
      </c>
      <c r="D14" s="56" t="s">
        <v>75</v>
      </c>
      <c r="E14" s="57">
        <f>DATE($B$2-64,B14+2,1)</f>
        <v>22706</v>
      </c>
      <c r="F14" s="67">
        <v>10</v>
      </c>
      <c r="G14" s="71">
        <f t="shared" si="2"/>
        <v>10</v>
      </c>
    </row>
    <row r="15" spans="1:7" x14ac:dyDescent="0.2">
      <c r="A15" s="314"/>
      <c r="B15" s="54">
        <v>2</v>
      </c>
      <c r="C15" s="55">
        <f t="shared" ref="C15:C16" si="3">DATE($B$2-64,B15+1,2)</f>
        <v>22707</v>
      </c>
      <c r="D15" s="56" t="s">
        <v>75</v>
      </c>
      <c r="E15" s="57">
        <f t="shared" ref="E15:E16" si="4">DATE($B$2-64,B15+2,1)</f>
        <v>22737</v>
      </c>
      <c r="F15" s="67">
        <v>11</v>
      </c>
      <c r="G15" s="71">
        <f t="shared" si="2"/>
        <v>11</v>
      </c>
    </row>
    <row r="16" spans="1:7" x14ac:dyDescent="0.2">
      <c r="A16" s="314"/>
      <c r="B16" s="54">
        <v>3</v>
      </c>
      <c r="C16" s="55">
        <f t="shared" si="3"/>
        <v>22738</v>
      </c>
      <c r="D16" s="56" t="s">
        <v>75</v>
      </c>
      <c r="E16" s="57">
        <f t="shared" si="4"/>
        <v>22767</v>
      </c>
      <c r="F16" s="67">
        <v>12</v>
      </c>
      <c r="G16" s="71">
        <f t="shared" si="2"/>
        <v>12</v>
      </c>
    </row>
    <row r="17" spans="1:7" x14ac:dyDescent="0.2">
      <c r="A17" s="313" t="s">
        <v>77</v>
      </c>
      <c r="B17" s="59">
        <v>4</v>
      </c>
      <c r="C17" s="60">
        <f>DATE($B$2-40,B17,2)</f>
        <v>31504</v>
      </c>
      <c r="D17" s="61" t="s">
        <v>75</v>
      </c>
      <c r="E17" s="62">
        <f>DATE($B$2-40,B17+1,1)</f>
        <v>31533</v>
      </c>
      <c r="F17" s="68">
        <v>12</v>
      </c>
      <c r="G17" s="72">
        <f>IF(G$2&lt;=IF(B17&lt;4,B17+12,B17),F17,F17-(G$2-IF(B17&lt;4,B17+12,B17)))</f>
        <v>12</v>
      </c>
    </row>
    <row r="18" spans="1:7" x14ac:dyDescent="0.2">
      <c r="A18" s="313"/>
      <c r="B18" s="59">
        <v>5</v>
      </c>
      <c r="C18" s="60">
        <f t="shared" ref="C18:C25" si="5">DATE($B$2-40,B18,2)</f>
        <v>31534</v>
      </c>
      <c r="D18" s="61" t="s">
        <v>75</v>
      </c>
      <c r="E18" s="62">
        <f t="shared" ref="E18:E25" si="6">DATE($B$2-40,B18+1,1)</f>
        <v>31564</v>
      </c>
      <c r="F18" s="68">
        <v>11</v>
      </c>
      <c r="G18" s="72">
        <f t="shared" ref="G18:G28" si="7">IF(G$2&lt;=IF(B18&lt;4,B18+12,B18),F18,F18-(G$2-IF(B18&lt;4,B18+12,B18)))</f>
        <v>11</v>
      </c>
    </row>
    <row r="19" spans="1:7" x14ac:dyDescent="0.2">
      <c r="A19" s="313"/>
      <c r="B19" s="59">
        <v>6</v>
      </c>
      <c r="C19" s="60">
        <f t="shared" si="5"/>
        <v>31565</v>
      </c>
      <c r="D19" s="61" t="s">
        <v>75</v>
      </c>
      <c r="E19" s="62">
        <f t="shared" si="6"/>
        <v>31594</v>
      </c>
      <c r="F19" s="68">
        <v>10</v>
      </c>
      <c r="G19" s="72">
        <f t="shared" si="7"/>
        <v>10</v>
      </c>
    </row>
    <row r="20" spans="1:7" x14ac:dyDescent="0.2">
      <c r="A20" s="313"/>
      <c r="B20" s="59">
        <v>7</v>
      </c>
      <c r="C20" s="60">
        <f t="shared" si="5"/>
        <v>31595</v>
      </c>
      <c r="D20" s="61" t="s">
        <v>75</v>
      </c>
      <c r="E20" s="62">
        <f t="shared" si="6"/>
        <v>31625</v>
      </c>
      <c r="F20" s="68">
        <v>9</v>
      </c>
      <c r="G20" s="72">
        <f t="shared" si="7"/>
        <v>9</v>
      </c>
    </row>
    <row r="21" spans="1:7" x14ac:dyDescent="0.2">
      <c r="A21" s="313"/>
      <c r="B21" s="59">
        <v>8</v>
      </c>
      <c r="C21" s="60">
        <f t="shared" si="5"/>
        <v>31626</v>
      </c>
      <c r="D21" s="61" t="s">
        <v>75</v>
      </c>
      <c r="E21" s="62">
        <f t="shared" si="6"/>
        <v>31656</v>
      </c>
      <c r="F21" s="68">
        <v>8</v>
      </c>
      <c r="G21" s="72">
        <f t="shared" si="7"/>
        <v>8</v>
      </c>
    </row>
    <row r="22" spans="1:7" x14ac:dyDescent="0.2">
      <c r="A22" s="313"/>
      <c r="B22" s="59">
        <v>9</v>
      </c>
      <c r="C22" s="60">
        <f t="shared" si="5"/>
        <v>31657</v>
      </c>
      <c r="D22" s="61" t="s">
        <v>75</v>
      </c>
      <c r="E22" s="62">
        <f t="shared" si="6"/>
        <v>31686</v>
      </c>
      <c r="F22" s="68">
        <v>7</v>
      </c>
      <c r="G22" s="72">
        <f t="shared" si="7"/>
        <v>7</v>
      </c>
    </row>
    <row r="23" spans="1:7" x14ac:dyDescent="0.2">
      <c r="A23" s="313"/>
      <c r="B23" s="59">
        <v>10</v>
      </c>
      <c r="C23" s="60">
        <f t="shared" si="5"/>
        <v>31687</v>
      </c>
      <c r="D23" s="61" t="s">
        <v>75</v>
      </c>
      <c r="E23" s="62">
        <f t="shared" si="6"/>
        <v>31717</v>
      </c>
      <c r="F23" s="68">
        <v>6</v>
      </c>
      <c r="G23" s="72">
        <f t="shared" si="7"/>
        <v>6</v>
      </c>
    </row>
    <row r="24" spans="1:7" x14ac:dyDescent="0.2">
      <c r="A24" s="313"/>
      <c r="B24" s="59">
        <v>11</v>
      </c>
      <c r="C24" s="60">
        <f t="shared" si="5"/>
        <v>31718</v>
      </c>
      <c r="D24" s="61" t="s">
        <v>75</v>
      </c>
      <c r="E24" s="62">
        <f t="shared" si="6"/>
        <v>31747</v>
      </c>
      <c r="F24" s="68">
        <v>5</v>
      </c>
      <c r="G24" s="72">
        <f t="shared" si="7"/>
        <v>5</v>
      </c>
    </row>
    <row r="25" spans="1:7" x14ac:dyDescent="0.2">
      <c r="A25" s="313"/>
      <c r="B25" s="59">
        <v>12</v>
      </c>
      <c r="C25" s="60">
        <f t="shared" si="5"/>
        <v>31748</v>
      </c>
      <c r="D25" s="61" t="s">
        <v>75</v>
      </c>
      <c r="E25" s="62">
        <f t="shared" si="6"/>
        <v>31778</v>
      </c>
      <c r="F25" s="68">
        <v>4</v>
      </c>
      <c r="G25" s="72">
        <f t="shared" si="7"/>
        <v>4</v>
      </c>
    </row>
    <row r="26" spans="1:7" x14ac:dyDescent="0.2">
      <c r="A26" s="313"/>
      <c r="B26" s="59">
        <v>1</v>
      </c>
      <c r="C26" s="60">
        <f>DATE($B$2-39,B26,2)</f>
        <v>31779</v>
      </c>
      <c r="D26" s="61" t="s">
        <v>75</v>
      </c>
      <c r="E26" s="62">
        <f>DATE($B$2-39,B26+1,1)</f>
        <v>31809</v>
      </c>
      <c r="F26" s="68">
        <v>3</v>
      </c>
      <c r="G26" s="72">
        <f t="shared" si="7"/>
        <v>3</v>
      </c>
    </row>
    <row r="27" spans="1:7" x14ac:dyDescent="0.2">
      <c r="A27" s="313"/>
      <c r="B27" s="59">
        <v>2</v>
      </c>
      <c r="C27" s="60">
        <f t="shared" ref="C27:C28" si="8">DATE($B$2-39,B27,2)</f>
        <v>31810</v>
      </c>
      <c r="D27" s="61" t="s">
        <v>76</v>
      </c>
      <c r="E27" s="62">
        <f t="shared" ref="E27:E28" si="9">DATE($B$2-39,B27+1,1)</f>
        <v>31837</v>
      </c>
      <c r="F27" s="68">
        <v>2</v>
      </c>
      <c r="G27" s="72">
        <f t="shared" si="7"/>
        <v>2</v>
      </c>
    </row>
    <row r="28" spans="1:7" x14ac:dyDescent="0.2">
      <c r="A28" s="313"/>
      <c r="B28" s="59">
        <v>3</v>
      </c>
      <c r="C28" s="60">
        <f t="shared" si="8"/>
        <v>31838</v>
      </c>
      <c r="D28" s="61" t="s">
        <v>75</v>
      </c>
      <c r="E28" s="62">
        <f t="shared" si="9"/>
        <v>31868</v>
      </c>
      <c r="F28" s="68">
        <v>1</v>
      </c>
      <c r="G28" s="72">
        <f t="shared" si="7"/>
        <v>1</v>
      </c>
    </row>
    <row r="29" spans="1:7" ht="13.85" thickBot="1" x14ac:dyDescent="0.25">
      <c r="A29" s="63"/>
      <c r="B29" s="64"/>
      <c r="C29" s="65">
        <f>C28+1</f>
        <v>31839</v>
      </c>
      <c r="D29" s="64"/>
      <c r="E29" s="64"/>
      <c r="F29" s="69">
        <v>0</v>
      </c>
      <c r="G29" s="73">
        <v>0</v>
      </c>
    </row>
    <row r="30" spans="1:7" x14ac:dyDescent="0.2">
      <c r="A30" s="2"/>
      <c r="B30" s="2"/>
      <c r="C30" s="181"/>
      <c r="D30" s="2"/>
      <c r="E30" s="2"/>
      <c r="F30" s="50"/>
      <c r="G30" s="50"/>
    </row>
    <row r="31" spans="1:7" x14ac:dyDescent="0.2">
      <c r="A31" s="2"/>
      <c r="B31" s="2"/>
      <c r="C31" s="181"/>
      <c r="D31" s="2"/>
      <c r="E31" s="2"/>
      <c r="F31" s="50"/>
      <c r="G31" s="50"/>
    </row>
    <row r="32" spans="1:7" x14ac:dyDescent="0.2">
      <c r="A32" s="2"/>
      <c r="F32" s="50"/>
      <c r="G32" s="50"/>
    </row>
    <row r="33" spans="1:19" x14ac:dyDescent="0.2">
      <c r="A33" s="2"/>
      <c r="B33" s="1" t="s">
        <v>167</v>
      </c>
      <c r="C33" s="178">
        <f>概算シート!B18</f>
        <v>4</v>
      </c>
      <c r="D33" s="2"/>
      <c r="E33" s="2" t="s">
        <v>168</v>
      </c>
      <c r="F33" s="50"/>
      <c r="G33" s="50"/>
    </row>
    <row r="34" spans="1:19" x14ac:dyDescent="0.2">
      <c r="A34" s="2"/>
      <c r="B34" s="47" t="s">
        <v>169</v>
      </c>
      <c r="C34" s="189">
        <f>IF(C33&lt;4,C33+12,C33)</f>
        <v>4</v>
      </c>
      <c r="D34" s="2"/>
      <c r="E34" s="181" t="s">
        <v>171</v>
      </c>
      <c r="F34" s="50"/>
      <c r="G34" s="50"/>
      <c r="H34" t="s">
        <v>186</v>
      </c>
    </row>
    <row r="35" spans="1:19" x14ac:dyDescent="0.2">
      <c r="A35" s="2"/>
      <c r="B35" s="187" t="s">
        <v>183</v>
      </c>
      <c r="C35" s="190">
        <f>税率!D4/12</f>
        <v>875</v>
      </c>
      <c r="D35" s="2"/>
      <c r="E35" s="2"/>
      <c r="F35" s="50"/>
      <c r="G35" s="50"/>
      <c r="H35" s="154" t="s">
        <v>155</v>
      </c>
      <c r="I35" s="154" t="s">
        <v>156</v>
      </c>
      <c r="J35" s="154" t="s">
        <v>157</v>
      </c>
      <c r="K35" s="154" t="s">
        <v>158</v>
      </c>
      <c r="L35" s="154" t="s">
        <v>159</v>
      </c>
      <c r="M35" s="154" t="s">
        <v>160</v>
      </c>
      <c r="N35" s="154" t="s">
        <v>161</v>
      </c>
      <c r="O35" s="154" t="s">
        <v>162</v>
      </c>
      <c r="P35" s="154" t="s">
        <v>163</v>
      </c>
      <c r="Q35" s="154" t="s">
        <v>164</v>
      </c>
      <c r="R35" s="154" t="s">
        <v>165</v>
      </c>
      <c r="S35" s="154" t="s">
        <v>166</v>
      </c>
    </row>
    <row r="36" spans="1:19" x14ac:dyDescent="0.2">
      <c r="A36" s="2"/>
      <c r="B36" s="187" t="s">
        <v>184</v>
      </c>
      <c r="C36" s="190">
        <f>税率!D5/12</f>
        <v>566.66666666666663</v>
      </c>
      <c r="D36" s="2"/>
      <c r="E36" s="2"/>
      <c r="F36" s="50"/>
      <c r="G36" s="50"/>
      <c r="H36" s="154">
        <v>4</v>
      </c>
      <c r="I36" s="154">
        <v>5</v>
      </c>
      <c r="J36" s="154">
        <v>6</v>
      </c>
      <c r="K36" s="154">
        <v>7</v>
      </c>
      <c r="L36" s="154">
        <v>8</v>
      </c>
      <c r="M36" s="154">
        <v>9</v>
      </c>
      <c r="N36" s="154">
        <v>10</v>
      </c>
      <c r="O36" s="154">
        <v>11</v>
      </c>
      <c r="P36" s="154">
        <v>12</v>
      </c>
      <c r="Q36" s="154">
        <v>13</v>
      </c>
      <c r="R36" s="154">
        <v>14</v>
      </c>
      <c r="S36" s="154">
        <v>15</v>
      </c>
    </row>
    <row r="37" spans="1:19" x14ac:dyDescent="0.2">
      <c r="A37" s="2"/>
      <c r="B37" s="183" t="s">
        <v>192</v>
      </c>
      <c r="C37" s="178">
        <f ca="1">税率!D63</f>
        <v>0</v>
      </c>
      <c r="D37" s="2"/>
      <c r="E37" s="2"/>
      <c r="F37" s="50"/>
      <c r="G37" s="50"/>
      <c r="H37" s="1">
        <f t="shared" ref="H37:S37" si="10">IF($C$34&lt;=H$36,1,0)</f>
        <v>1</v>
      </c>
      <c r="I37" s="1">
        <f t="shared" si="10"/>
        <v>1</v>
      </c>
      <c r="J37" s="1">
        <f t="shared" si="10"/>
        <v>1</v>
      </c>
      <c r="K37" s="1">
        <f t="shared" si="10"/>
        <v>1</v>
      </c>
      <c r="L37" s="1">
        <f t="shared" si="10"/>
        <v>1</v>
      </c>
      <c r="M37" s="1">
        <f t="shared" si="10"/>
        <v>1</v>
      </c>
      <c r="N37" s="1">
        <f t="shared" si="10"/>
        <v>1</v>
      </c>
      <c r="O37" s="1">
        <f t="shared" si="10"/>
        <v>1</v>
      </c>
      <c r="P37" s="1">
        <f t="shared" si="10"/>
        <v>1</v>
      </c>
      <c r="Q37" s="1">
        <f t="shared" si="10"/>
        <v>1</v>
      </c>
      <c r="R37" s="1">
        <f t="shared" si="10"/>
        <v>1</v>
      </c>
      <c r="S37" s="1">
        <f t="shared" si="10"/>
        <v>1</v>
      </c>
    </row>
    <row r="38" spans="1:19" x14ac:dyDescent="0.2">
      <c r="A38" s="2"/>
      <c r="B38" s="186"/>
      <c r="C38" s="181"/>
      <c r="D38" s="2"/>
      <c r="E38" s="2"/>
      <c r="F38" s="50"/>
      <c r="G38" s="50"/>
    </row>
    <row r="39" spans="1:19" x14ac:dyDescent="0.2">
      <c r="A39" s="2"/>
      <c r="B39" s="186"/>
      <c r="C39" s="181"/>
      <c r="D39" s="2"/>
      <c r="E39" s="2"/>
      <c r="F39" s="50"/>
      <c r="G39" s="50"/>
    </row>
    <row r="40" spans="1:19" x14ac:dyDescent="0.2">
      <c r="H40" t="s">
        <v>187</v>
      </c>
    </row>
    <row r="41" spans="1:19" x14ac:dyDescent="0.2">
      <c r="H41" s="154" t="s">
        <v>155</v>
      </c>
      <c r="I41" s="154" t="s">
        <v>156</v>
      </c>
      <c r="J41" s="154" t="s">
        <v>157</v>
      </c>
      <c r="K41" s="154" t="s">
        <v>158</v>
      </c>
      <c r="L41" s="154" t="s">
        <v>159</v>
      </c>
      <c r="M41" s="154" t="s">
        <v>160</v>
      </c>
      <c r="N41" s="154" t="s">
        <v>161</v>
      </c>
      <c r="O41" s="154" t="s">
        <v>162</v>
      </c>
      <c r="P41" s="154" t="s">
        <v>163</v>
      </c>
      <c r="Q41" s="154" t="s">
        <v>164</v>
      </c>
      <c r="R41" s="154" t="s">
        <v>165</v>
      </c>
      <c r="S41" s="154" t="s">
        <v>166</v>
      </c>
    </row>
    <row r="42" spans="1:19" x14ac:dyDescent="0.2">
      <c r="C42" t="s">
        <v>170</v>
      </c>
      <c r="E42" s="58" t="s">
        <v>79</v>
      </c>
      <c r="F42" s="58" t="s">
        <v>185</v>
      </c>
      <c r="G42" s="182" t="s">
        <v>172</v>
      </c>
      <c r="H42" s="154">
        <v>4</v>
      </c>
      <c r="I42" s="154">
        <v>5</v>
      </c>
      <c r="J42" s="154">
        <v>6</v>
      </c>
      <c r="K42" s="154">
        <v>7</v>
      </c>
      <c r="L42" s="154">
        <v>8</v>
      </c>
      <c r="M42" s="154">
        <v>9</v>
      </c>
      <c r="N42" s="154">
        <v>10</v>
      </c>
      <c r="O42" s="154">
        <v>11</v>
      </c>
      <c r="P42" s="154">
        <v>12</v>
      </c>
      <c r="Q42" s="154">
        <v>13</v>
      </c>
      <c r="R42" s="154">
        <v>14</v>
      </c>
      <c r="S42" s="154">
        <v>15</v>
      </c>
    </row>
    <row r="43" spans="1:19" x14ac:dyDescent="0.2">
      <c r="B43" s="46" t="s">
        <v>45</v>
      </c>
      <c r="C43" s="53">
        <f>概算シート!W6</f>
        <v>0</v>
      </c>
      <c r="E43" s="1">
        <f ca="1">税率!C13</f>
        <v>0</v>
      </c>
      <c r="F43" s="1">
        <f ca="1">IF(E43=1,VLOOKUP(C43,介護2号判定!$C$4:$G$29,5,TRUE),0)</f>
        <v>0</v>
      </c>
      <c r="G43" s="63">
        <f>IF(AND(C43&gt;=$C$5,C43&lt;=$E$15),1,0)</f>
        <v>0</v>
      </c>
      <c r="H43" s="1">
        <f ca="1">IF(OR(H$37=0,$F43=0),0,IF($G43=1,IF($F43&gt;=COUNTIF($H$37:H$37,1),1,0),IF(16-$F43&lt;=H$42,1,0)))</f>
        <v>0</v>
      </c>
      <c r="I43" s="1">
        <f ca="1">IF(OR(I$37=0,$F43=0),0,IF($G43=1,IF($F43&gt;=COUNTIF($H$37:I$37,1),1,0),IF(16-$F43&lt;=I$42,1,0)))</f>
        <v>0</v>
      </c>
      <c r="J43" s="1">
        <f ca="1">IF(OR(J$37=0,$F43=0),0,IF($G43=1,IF($F43&gt;=COUNTIF($H$37:J$37,1),1,0),IF(16-$F43&lt;=J$42,1,0)))</f>
        <v>0</v>
      </c>
      <c r="K43" s="1">
        <f ca="1">IF(OR(K$37=0,$F43=0),0,IF($G43=1,IF($F43&gt;=COUNTIF($H$37:K$37,1),1,0),IF(16-$F43&lt;=K$42,1,0)))</f>
        <v>0</v>
      </c>
      <c r="L43" s="1">
        <f ca="1">IF(OR(L$37=0,$F43=0),0,IF($G43=1,IF($F43&gt;=COUNTIF($H$37:L$37,1),1,0),IF(16-$F43&lt;=L$42,1,0)))</f>
        <v>0</v>
      </c>
      <c r="M43" s="1">
        <f ca="1">IF(OR(M$37=0,$F43=0),0,IF($G43=1,IF($F43&gt;=COUNTIF($H$37:M$37,1),1,0),IF(16-$F43&lt;=M$42,1,0)))</f>
        <v>0</v>
      </c>
      <c r="N43" s="1">
        <f ca="1">IF(OR(N$37=0,$F43=0),0,IF($G43=1,IF($F43&gt;=COUNTIF($H$37:N$37,1),1,0),IF(16-$F43&lt;=N$42,1,0)))</f>
        <v>0</v>
      </c>
      <c r="O43" s="1">
        <f ca="1">IF(OR(O$37=0,$F43=0),0,IF($G43=1,IF($F43&gt;=COUNTIF($H$37:O$37,1),1,0),IF(16-$F43&lt;=O$42,1,0)))</f>
        <v>0</v>
      </c>
      <c r="P43" s="1">
        <f ca="1">IF(OR(P$37=0,$F43=0),0,IF($G43=1,IF($F43&gt;=COUNTIF($H$37:P$37,1),1,0),IF(16-$F43&lt;=P$42,1,0)))</f>
        <v>0</v>
      </c>
      <c r="Q43" s="1">
        <f ca="1">IF(OR(Q$37=0,$F43=0),0,IF($G43=1,IF($F43&gt;=COUNTIF($H$37:Q$37,1),1,0),IF(16-$F43&lt;=Q$42,1,0)))</f>
        <v>0</v>
      </c>
      <c r="R43" s="1">
        <f ca="1">IF(OR(R$37=0,$F43=0),0,IF($G43=1,IF($F43&gt;=COUNTIF($H$37:R$37,1),1,0),IF(16-$F43&lt;=R$42,1,0)))</f>
        <v>0</v>
      </c>
      <c r="S43" s="1">
        <f ca="1">IF(OR(S$37=0,$F43=0),0,IF($G43=1,IF($F43&gt;=COUNTIF($H$37:S$37,1),1,0),IF(16-$F43&lt;=S$42,1,0)))</f>
        <v>0</v>
      </c>
    </row>
    <row r="44" spans="1:19" x14ac:dyDescent="0.2">
      <c r="B44" s="46" t="s">
        <v>9</v>
      </c>
      <c r="C44" s="53">
        <f>概算シート!W7</f>
        <v>0</v>
      </c>
      <c r="E44" s="1">
        <f ca="1">税率!C14</f>
        <v>0</v>
      </c>
      <c r="F44" s="1">
        <f ca="1">IF(E44=1,VLOOKUP(C44,介護2号判定!$C$4:$G$29,5,TRUE),0)</f>
        <v>0</v>
      </c>
      <c r="G44" s="63">
        <f t="shared" ref="G44:G52" si="11">IF(AND(C44&gt;=$C$5,C44&lt;=$E$15),1,0)</f>
        <v>0</v>
      </c>
      <c r="H44" s="1">
        <f ca="1">IF(OR(H$37=0,$F44=0),0,IF($G44=1,IF($F44&gt;=COUNTIF($H$37:H$37,1),1,0),IF(16-$F44&lt;=H$42,1,0)))</f>
        <v>0</v>
      </c>
      <c r="I44" s="1">
        <f ca="1">IF(OR(I$37=0,$F44=0),0,IF($G44=1,IF($F44&gt;=COUNTIF($H$37:I$37,1),1,0),IF(16-$F44&lt;=I$42,1,0)))</f>
        <v>0</v>
      </c>
      <c r="J44" s="1">
        <f ca="1">IF(OR(J$37=0,$F44=0),0,IF($G44=1,IF($F44&gt;=COUNTIF($H$37:J$37,1),1,0),IF(16-$F44&lt;=J$42,1,0)))</f>
        <v>0</v>
      </c>
      <c r="K44" s="1">
        <f ca="1">IF(OR(K$37=0,$F44=0),0,IF($G44=1,IF($F44&gt;=COUNTIF($H$37:K$37,1),1,0),IF(16-$F44&lt;=K$42,1,0)))</f>
        <v>0</v>
      </c>
      <c r="L44" s="1">
        <f ca="1">IF(OR(L$37=0,$F44=0),0,IF($G44=1,IF($F44&gt;=COUNTIF($H$37:L$37,1),1,0),IF(16-$F44&lt;=L$42,1,0)))</f>
        <v>0</v>
      </c>
      <c r="M44" s="1">
        <f ca="1">IF(OR(M$37=0,$F44=0),0,IF($G44=1,IF($F44&gt;=COUNTIF($H$37:M$37,1),1,0),IF(16-$F44&lt;=M$42,1,0)))</f>
        <v>0</v>
      </c>
      <c r="N44" s="1">
        <f ca="1">IF(OR(N$37=0,$F44=0),0,IF($G44=1,IF($F44&gt;=COUNTIF($H$37:N$37,1),1,0),IF(16-$F44&lt;=N$42,1,0)))</f>
        <v>0</v>
      </c>
      <c r="O44" s="1">
        <f ca="1">IF(OR(O$37=0,$F44=0),0,IF($G44=1,IF($F44&gt;=COUNTIF($H$37:O$37,1),1,0),IF(16-$F44&lt;=O$42,1,0)))</f>
        <v>0</v>
      </c>
      <c r="P44" s="1">
        <f ca="1">IF(OR(P$37=0,$F44=0),0,IF($G44=1,IF($F44&gt;=COUNTIF($H$37:P$37,1),1,0),IF(16-$F44&lt;=P$42,1,0)))</f>
        <v>0</v>
      </c>
      <c r="Q44" s="1">
        <f ca="1">IF(OR(Q$37=0,$F44=0),0,IF($G44=1,IF($F44&gt;=COUNTIF($H$37:Q$37,1),1,0),IF(16-$F44&lt;=Q$42,1,0)))</f>
        <v>0</v>
      </c>
      <c r="R44" s="1">
        <f ca="1">IF(OR(R$37=0,$F44=0),0,IF($G44=1,IF($F44&gt;=COUNTIF($H$37:R$37,1),1,0),IF(16-$F44&lt;=R$42,1,0)))</f>
        <v>0</v>
      </c>
      <c r="S44" s="1">
        <f ca="1">IF(OR(S$37=0,$F44=0),0,IF($G44=1,IF($F44&gt;=COUNTIF($H$37:S$37,1),1,0),IF(16-$F44&lt;=S$42,1,0)))</f>
        <v>0</v>
      </c>
    </row>
    <row r="45" spans="1:19" x14ac:dyDescent="0.2">
      <c r="B45" s="46" t="s">
        <v>10</v>
      </c>
      <c r="C45" s="53">
        <f>概算シート!W8</f>
        <v>0</v>
      </c>
      <c r="E45" s="1">
        <f ca="1">税率!C15</f>
        <v>0</v>
      </c>
      <c r="F45" s="1">
        <f ca="1">IF(E45=1,VLOOKUP(C45,介護2号判定!$C$4:$G$29,5,TRUE),0)</f>
        <v>0</v>
      </c>
      <c r="G45" s="63">
        <f t="shared" si="11"/>
        <v>0</v>
      </c>
      <c r="H45" s="1">
        <f ca="1">IF(OR(H$37=0,$F45=0),0,IF($G45=1,IF($F45&gt;=COUNTIF($H$37:H$37,1),1,0),IF(16-$F45&lt;=H$42,1,0)))</f>
        <v>0</v>
      </c>
      <c r="I45" s="1">
        <f ca="1">IF(OR(I$37=0,$F45=0),0,IF($G45=1,IF($F45&gt;=COUNTIF($H$37:I$37,1),1,0),IF(16-$F45&lt;=I$42,1,0)))</f>
        <v>0</v>
      </c>
      <c r="J45" s="1">
        <f ca="1">IF(OR(J$37=0,$F45=0),0,IF($G45=1,IF($F45&gt;=COUNTIF($H$37:J$37,1),1,0),IF(16-$F45&lt;=J$42,1,0)))</f>
        <v>0</v>
      </c>
      <c r="K45" s="1">
        <f ca="1">IF(OR(K$37=0,$F45=0),0,IF($G45=1,IF($F45&gt;=COUNTIF($H$37:K$37,1),1,0),IF(16-$F45&lt;=K$42,1,0)))</f>
        <v>0</v>
      </c>
      <c r="L45" s="1">
        <f ca="1">IF(OR(L$37=0,$F45=0),0,IF($G45=1,IF($F45&gt;=COUNTIF($H$37:L$37,1),1,0),IF(16-$F45&lt;=L$42,1,0)))</f>
        <v>0</v>
      </c>
      <c r="M45" s="1">
        <f ca="1">IF(OR(M$37=0,$F45=0),0,IF($G45=1,IF($F45&gt;=COUNTIF($H$37:M$37,1),1,0),IF(16-$F45&lt;=M$42,1,0)))</f>
        <v>0</v>
      </c>
      <c r="N45" s="1">
        <f ca="1">IF(OR(N$37=0,$F45=0),0,IF($G45=1,IF($F45&gt;=COUNTIF($H$37:N$37,1),1,0),IF(16-$F45&lt;=N$42,1,0)))</f>
        <v>0</v>
      </c>
      <c r="O45" s="1">
        <f ca="1">IF(OR(O$37=0,$F45=0),0,IF($G45=1,IF($F45&gt;=COUNTIF($H$37:O$37,1),1,0),IF(16-$F45&lt;=O$42,1,0)))</f>
        <v>0</v>
      </c>
      <c r="P45" s="1">
        <f ca="1">IF(OR(P$37=0,$F45=0),0,IF($G45=1,IF($F45&gt;=COUNTIF($H$37:P$37,1),1,0),IF(16-$F45&lt;=P$42,1,0)))</f>
        <v>0</v>
      </c>
      <c r="Q45" s="1">
        <f ca="1">IF(OR(Q$37=0,$F45=0),0,IF($G45=1,IF($F45&gt;=COUNTIF($H$37:Q$37,1),1,0),IF(16-$F45&lt;=Q$42,1,0)))</f>
        <v>0</v>
      </c>
      <c r="R45" s="1">
        <f ca="1">IF(OR(R$37=0,$F45=0),0,IF($G45=1,IF($F45&gt;=COUNTIF($H$37:R$37,1),1,0),IF(16-$F45&lt;=R$42,1,0)))</f>
        <v>0</v>
      </c>
      <c r="S45" s="1">
        <f ca="1">IF(OR(S$37=0,$F45=0),0,IF($G45=1,IF($F45&gt;=COUNTIF($H$37:S$37,1),1,0),IF(16-$F45&lt;=S$42,1,0)))</f>
        <v>0</v>
      </c>
    </row>
    <row r="46" spans="1:19" x14ac:dyDescent="0.2">
      <c r="B46" s="46" t="s">
        <v>11</v>
      </c>
      <c r="C46" s="53">
        <f>概算シート!W9</f>
        <v>0</v>
      </c>
      <c r="E46" s="1">
        <f ca="1">税率!C16</f>
        <v>0</v>
      </c>
      <c r="F46" s="1">
        <f ca="1">IF(E46=1,VLOOKUP(C46,介護2号判定!$C$4:$G$29,5,TRUE),0)</f>
        <v>0</v>
      </c>
      <c r="G46" s="63">
        <f t="shared" si="11"/>
        <v>0</v>
      </c>
      <c r="H46" s="1">
        <f ca="1">IF(OR(H$37=0,$F46=0),0,IF($G46=1,IF($F46&gt;=COUNTIF($H$37:H$37,1),1,0),IF(16-$F46&lt;=H$42,1,0)))</f>
        <v>0</v>
      </c>
      <c r="I46" s="1">
        <f ca="1">IF(OR(I$37=0,$F46=0),0,IF($G46=1,IF($F46&gt;=COUNTIF($H$37:I$37,1),1,0),IF(16-$F46&lt;=I$42,1,0)))</f>
        <v>0</v>
      </c>
      <c r="J46" s="1">
        <f ca="1">IF(OR(J$37=0,$F46=0),0,IF($G46=1,IF($F46&gt;=COUNTIF($H$37:J$37,1),1,0),IF(16-$F46&lt;=J$42,1,0)))</f>
        <v>0</v>
      </c>
      <c r="K46" s="1">
        <f ca="1">IF(OR(K$37=0,$F46=0),0,IF($G46=1,IF($F46&gt;=COUNTIF($H$37:K$37,1),1,0),IF(16-$F46&lt;=K$42,1,0)))</f>
        <v>0</v>
      </c>
      <c r="L46" s="1">
        <f ca="1">IF(OR(L$37=0,$F46=0),0,IF($G46=1,IF($F46&gt;=COUNTIF($H$37:L$37,1),1,0),IF(16-$F46&lt;=L$42,1,0)))</f>
        <v>0</v>
      </c>
      <c r="M46" s="1">
        <f ca="1">IF(OR(M$37=0,$F46=0),0,IF($G46=1,IF($F46&gt;=COUNTIF($H$37:M$37,1),1,0),IF(16-$F46&lt;=M$42,1,0)))</f>
        <v>0</v>
      </c>
      <c r="N46" s="1">
        <f ca="1">IF(OR(N$37=0,$F46=0),0,IF($G46=1,IF($F46&gt;=COUNTIF($H$37:N$37,1),1,0),IF(16-$F46&lt;=N$42,1,0)))</f>
        <v>0</v>
      </c>
      <c r="O46" s="1">
        <f ca="1">IF(OR(O$37=0,$F46=0),0,IF($G46=1,IF($F46&gt;=COUNTIF($H$37:O$37,1),1,0),IF(16-$F46&lt;=O$42,1,0)))</f>
        <v>0</v>
      </c>
      <c r="P46" s="1">
        <f ca="1">IF(OR(P$37=0,$F46=0),0,IF($G46=1,IF($F46&gt;=COUNTIF($H$37:P$37,1),1,0),IF(16-$F46&lt;=P$42,1,0)))</f>
        <v>0</v>
      </c>
      <c r="Q46" s="1">
        <f ca="1">IF(OR(Q$37=0,$F46=0),0,IF($G46=1,IF($F46&gt;=COUNTIF($H$37:Q$37,1),1,0),IF(16-$F46&lt;=Q$42,1,0)))</f>
        <v>0</v>
      </c>
      <c r="R46" s="1">
        <f ca="1">IF(OR(R$37=0,$F46=0),0,IF($G46=1,IF($F46&gt;=COUNTIF($H$37:R$37,1),1,0),IF(16-$F46&lt;=R$42,1,0)))</f>
        <v>0</v>
      </c>
      <c r="S46" s="1">
        <f ca="1">IF(OR(S$37=0,$F46=0),0,IF($G46=1,IF($F46&gt;=COUNTIF($H$37:S$37,1),1,0),IF(16-$F46&lt;=S$42,1,0)))</f>
        <v>0</v>
      </c>
    </row>
    <row r="47" spans="1:19" x14ac:dyDescent="0.2">
      <c r="B47" s="46" t="s">
        <v>12</v>
      </c>
      <c r="C47" s="53">
        <f>概算シート!W10</f>
        <v>0</v>
      </c>
      <c r="E47" s="1">
        <f ca="1">税率!C17</f>
        <v>0</v>
      </c>
      <c r="F47" s="1">
        <f ca="1">IF(E47=1,VLOOKUP(C47,介護2号判定!$C$4:$G$29,5,TRUE),0)</f>
        <v>0</v>
      </c>
      <c r="G47" s="63">
        <f t="shared" si="11"/>
        <v>0</v>
      </c>
      <c r="H47" s="1">
        <f ca="1">IF(OR(H$37=0,$F47=0),0,IF($G47=1,IF($F47&gt;=COUNTIF($H$37:H$37,1),1,0),IF(16-$F47&lt;=H$42,1,0)))</f>
        <v>0</v>
      </c>
      <c r="I47" s="1">
        <f ca="1">IF(OR(I$37=0,$F47=0),0,IF($G47=1,IF($F47&gt;=COUNTIF($H$37:I$37,1),1,0),IF(16-$F47&lt;=I$42,1,0)))</f>
        <v>0</v>
      </c>
      <c r="J47" s="1">
        <f ca="1">IF(OR(J$37=0,$F47=0),0,IF($G47=1,IF($F47&gt;=COUNTIF($H$37:J$37,1),1,0),IF(16-$F47&lt;=J$42,1,0)))</f>
        <v>0</v>
      </c>
      <c r="K47" s="1">
        <f ca="1">IF(OR(K$37=0,$F47=0),0,IF($G47=1,IF($F47&gt;=COUNTIF($H$37:K$37,1),1,0),IF(16-$F47&lt;=K$42,1,0)))</f>
        <v>0</v>
      </c>
      <c r="L47" s="1">
        <f ca="1">IF(OR(L$37=0,$F47=0),0,IF($G47=1,IF($F47&gt;=COUNTIF($H$37:L$37,1),1,0),IF(16-$F47&lt;=L$42,1,0)))</f>
        <v>0</v>
      </c>
      <c r="M47" s="1">
        <f ca="1">IF(OR(M$37=0,$F47=0),0,IF($G47=1,IF($F47&gt;=COUNTIF($H$37:M$37,1),1,0),IF(16-$F47&lt;=M$42,1,0)))</f>
        <v>0</v>
      </c>
      <c r="N47" s="1">
        <f ca="1">IF(OR(N$37=0,$F47=0),0,IF($G47=1,IF($F47&gt;=COUNTIF($H$37:N$37,1),1,0),IF(16-$F47&lt;=N$42,1,0)))</f>
        <v>0</v>
      </c>
      <c r="O47" s="1">
        <f ca="1">IF(OR(O$37=0,$F47=0),0,IF($G47=1,IF($F47&gt;=COUNTIF($H$37:O$37,1),1,0),IF(16-$F47&lt;=O$42,1,0)))</f>
        <v>0</v>
      </c>
      <c r="P47" s="1">
        <f ca="1">IF(OR(P$37=0,$F47=0),0,IF($G47=1,IF($F47&gt;=COUNTIF($H$37:P$37,1),1,0),IF(16-$F47&lt;=P$42,1,0)))</f>
        <v>0</v>
      </c>
      <c r="Q47" s="1">
        <f ca="1">IF(OR(Q$37=0,$F47=0),0,IF($G47=1,IF($F47&gt;=COUNTIF($H$37:Q$37,1),1,0),IF(16-$F47&lt;=Q$42,1,0)))</f>
        <v>0</v>
      </c>
      <c r="R47" s="1">
        <f ca="1">IF(OR(R$37=0,$F47=0),0,IF($G47=1,IF($F47&gt;=COUNTIF($H$37:R$37,1),1,0),IF(16-$F47&lt;=R$42,1,0)))</f>
        <v>0</v>
      </c>
      <c r="S47" s="1">
        <f ca="1">IF(OR(S$37=0,$F47=0),0,IF($G47=1,IF($F47&gt;=COUNTIF($H$37:S$37,1),1,0),IF(16-$F47&lt;=S$42,1,0)))</f>
        <v>0</v>
      </c>
    </row>
    <row r="48" spans="1:19" x14ac:dyDescent="0.2">
      <c r="B48" s="46" t="s">
        <v>13</v>
      </c>
      <c r="C48" s="53">
        <f>概算シート!W11</f>
        <v>0</v>
      </c>
      <c r="E48" s="1">
        <f ca="1">税率!C18</f>
        <v>0</v>
      </c>
      <c r="F48" s="1">
        <f ca="1">IF(E48=1,VLOOKUP(C48,介護2号判定!$C$4:$G$29,5,TRUE),0)</f>
        <v>0</v>
      </c>
      <c r="G48" s="63">
        <f t="shared" si="11"/>
        <v>0</v>
      </c>
      <c r="H48" s="1">
        <f ca="1">IF(OR(H$37=0,$F48=0),0,IF($G48=1,IF($F48&gt;=COUNTIF($H$37:H$37,1),1,0),IF(16-$F48&lt;=H$42,1,0)))</f>
        <v>0</v>
      </c>
      <c r="I48" s="1">
        <f ca="1">IF(OR(I$37=0,$F48=0),0,IF($G48=1,IF($F48&gt;=COUNTIF($H$37:I$37,1),1,0),IF(16-$F48&lt;=I$42,1,0)))</f>
        <v>0</v>
      </c>
      <c r="J48" s="1">
        <f ca="1">IF(OR(J$37=0,$F48=0),0,IF($G48=1,IF($F48&gt;=COUNTIF($H$37:J$37,1),1,0),IF(16-$F48&lt;=J$42,1,0)))</f>
        <v>0</v>
      </c>
      <c r="K48" s="1">
        <f ca="1">IF(OR(K$37=0,$F48=0),0,IF($G48=1,IF($F48&gt;=COUNTIF($H$37:K$37,1),1,0),IF(16-$F48&lt;=K$42,1,0)))</f>
        <v>0</v>
      </c>
      <c r="L48" s="1">
        <f ca="1">IF(OR(L$37=0,$F48=0),0,IF($G48=1,IF($F48&gt;=COUNTIF($H$37:L$37,1),1,0),IF(16-$F48&lt;=L$42,1,0)))</f>
        <v>0</v>
      </c>
      <c r="M48" s="1">
        <f ca="1">IF(OR(M$37=0,$F48=0),0,IF($G48=1,IF($F48&gt;=COUNTIF($H$37:M$37,1),1,0),IF(16-$F48&lt;=M$42,1,0)))</f>
        <v>0</v>
      </c>
      <c r="N48" s="1">
        <f ca="1">IF(OR(N$37=0,$F48=0),0,IF($G48=1,IF($F48&gt;=COUNTIF($H$37:N$37,1),1,0),IF(16-$F48&lt;=N$42,1,0)))</f>
        <v>0</v>
      </c>
      <c r="O48" s="1">
        <f ca="1">IF(OR(O$37=0,$F48=0),0,IF($G48=1,IF($F48&gt;=COUNTIF($H$37:O$37,1),1,0),IF(16-$F48&lt;=O$42,1,0)))</f>
        <v>0</v>
      </c>
      <c r="P48" s="1">
        <f ca="1">IF(OR(P$37=0,$F48=0),0,IF($G48=1,IF($F48&gt;=COUNTIF($H$37:P$37,1),1,0),IF(16-$F48&lt;=P$42,1,0)))</f>
        <v>0</v>
      </c>
      <c r="Q48" s="1">
        <f ca="1">IF(OR(Q$37=0,$F48=0),0,IF($G48=1,IF($F48&gt;=COUNTIF($H$37:Q$37,1),1,0),IF(16-$F48&lt;=Q$42,1,0)))</f>
        <v>0</v>
      </c>
      <c r="R48" s="1">
        <f ca="1">IF(OR(R$37=0,$F48=0),0,IF($G48=1,IF($F48&gt;=COUNTIF($H$37:R$37,1),1,0),IF(16-$F48&lt;=R$42,1,0)))</f>
        <v>0</v>
      </c>
      <c r="S48" s="1">
        <f ca="1">IF(OR(S$37=0,$F48=0),0,IF($G48=1,IF($F48&gt;=COUNTIF($H$37:S$37,1),1,0),IF(16-$F48&lt;=S$42,1,0)))</f>
        <v>0</v>
      </c>
    </row>
    <row r="49" spans="2:20" x14ac:dyDescent="0.2">
      <c r="B49" s="46" t="s">
        <v>14</v>
      </c>
      <c r="C49" s="53">
        <f>概算シート!W12</f>
        <v>0</v>
      </c>
      <c r="E49" s="1">
        <f ca="1">税率!C19</f>
        <v>0</v>
      </c>
      <c r="F49" s="1">
        <f ca="1">IF(E49=1,VLOOKUP(C49,介護2号判定!$C$4:$G$29,5,TRUE),0)</f>
        <v>0</v>
      </c>
      <c r="G49" s="63">
        <f t="shared" si="11"/>
        <v>0</v>
      </c>
      <c r="H49" s="1">
        <f ca="1">IF(OR(H$37=0,$F49=0),0,IF($G49=1,IF($F49&gt;=COUNTIF($H$37:H$37,1),1,0),IF(16-$F49&lt;=H$42,1,0)))</f>
        <v>0</v>
      </c>
      <c r="I49" s="1">
        <f ca="1">IF(OR(I$37=0,$F49=0),0,IF($G49=1,IF($F49&gt;=COUNTIF($H$37:I$37,1),1,0),IF(16-$F49&lt;=I$42,1,0)))</f>
        <v>0</v>
      </c>
      <c r="J49" s="1">
        <f ca="1">IF(OR(J$37=0,$F49=0),0,IF($G49=1,IF($F49&gt;=COUNTIF($H$37:J$37,1),1,0),IF(16-$F49&lt;=J$42,1,0)))</f>
        <v>0</v>
      </c>
      <c r="K49" s="1">
        <f ca="1">IF(OR(K$37=0,$F49=0),0,IF($G49=1,IF($F49&gt;=COUNTIF($H$37:K$37,1),1,0),IF(16-$F49&lt;=K$42,1,0)))</f>
        <v>0</v>
      </c>
      <c r="L49" s="1">
        <f ca="1">IF(OR(L$37=0,$F49=0),0,IF($G49=1,IF($F49&gt;=COUNTIF($H$37:L$37,1),1,0),IF(16-$F49&lt;=L$42,1,0)))</f>
        <v>0</v>
      </c>
      <c r="M49" s="1">
        <f ca="1">IF(OR(M$37=0,$F49=0),0,IF($G49=1,IF($F49&gt;=COUNTIF($H$37:M$37,1),1,0),IF(16-$F49&lt;=M$42,1,0)))</f>
        <v>0</v>
      </c>
      <c r="N49" s="1">
        <f ca="1">IF(OR(N$37=0,$F49=0),0,IF($G49=1,IF($F49&gt;=COUNTIF($H$37:N$37,1),1,0),IF(16-$F49&lt;=N$42,1,0)))</f>
        <v>0</v>
      </c>
      <c r="O49" s="1">
        <f ca="1">IF(OR(O$37=0,$F49=0),0,IF($G49=1,IF($F49&gt;=COUNTIF($H$37:O$37,1),1,0),IF(16-$F49&lt;=O$42,1,0)))</f>
        <v>0</v>
      </c>
      <c r="P49" s="1">
        <f ca="1">IF(OR(P$37=0,$F49=0),0,IF($G49=1,IF($F49&gt;=COUNTIF($H$37:P$37,1),1,0),IF(16-$F49&lt;=P$42,1,0)))</f>
        <v>0</v>
      </c>
      <c r="Q49" s="1">
        <f ca="1">IF(OR(Q$37=0,$F49=0),0,IF($G49=1,IF($F49&gt;=COUNTIF($H$37:Q$37,1),1,0),IF(16-$F49&lt;=Q$42,1,0)))</f>
        <v>0</v>
      </c>
      <c r="R49" s="1">
        <f ca="1">IF(OR(R$37=0,$F49=0),0,IF($G49=1,IF($F49&gt;=COUNTIF($H$37:R$37,1),1,0),IF(16-$F49&lt;=R$42,1,0)))</f>
        <v>0</v>
      </c>
      <c r="S49" s="1">
        <f ca="1">IF(OR(S$37=0,$F49=0),0,IF($G49=1,IF($F49&gt;=COUNTIF($H$37:S$37,1),1,0),IF(16-$F49&lt;=S$42,1,0)))</f>
        <v>0</v>
      </c>
    </row>
    <row r="50" spans="2:20" x14ac:dyDescent="0.2">
      <c r="B50" s="46" t="s">
        <v>15</v>
      </c>
      <c r="C50" s="53">
        <f>概算シート!W13</f>
        <v>0</v>
      </c>
      <c r="E50" s="1">
        <f ca="1">税率!C20</f>
        <v>0</v>
      </c>
      <c r="F50" s="1">
        <f ca="1">IF(E50=1,VLOOKUP(C50,介護2号判定!$C$4:$G$29,5,TRUE),0)</f>
        <v>0</v>
      </c>
      <c r="G50" s="63">
        <f t="shared" si="11"/>
        <v>0</v>
      </c>
      <c r="H50" s="1">
        <f ca="1">IF(OR(H$37=0,$F50=0),0,IF($G50=1,IF($F50&gt;=COUNTIF($H$37:H$37,1),1,0),IF(16-$F50&lt;=H$42,1,0)))</f>
        <v>0</v>
      </c>
      <c r="I50" s="1">
        <f ca="1">IF(OR(I$37=0,$F50=0),0,IF($G50=1,IF($F50&gt;=COUNTIF($H$37:I$37,1),1,0),IF(16-$F50&lt;=I$42,1,0)))</f>
        <v>0</v>
      </c>
      <c r="J50" s="1">
        <f ca="1">IF(OR(J$37=0,$F50=0),0,IF($G50=1,IF($F50&gt;=COUNTIF($H$37:J$37,1),1,0),IF(16-$F50&lt;=J$42,1,0)))</f>
        <v>0</v>
      </c>
      <c r="K50" s="1">
        <f ca="1">IF(OR(K$37=0,$F50=0),0,IF($G50=1,IF($F50&gt;=COUNTIF($H$37:K$37,1),1,0),IF(16-$F50&lt;=K$42,1,0)))</f>
        <v>0</v>
      </c>
      <c r="L50" s="1">
        <f ca="1">IF(OR(L$37=0,$F50=0),0,IF($G50=1,IF($F50&gt;=COUNTIF($H$37:L$37,1),1,0),IF(16-$F50&lt;=L$42,1,0)))</f>
        <v>0</v>
      </c>
      <c r="M50" s="1">
        <f ca="1">IF(OR(M$37=0,$F50=0),0,IF($G50=1,IF($F50&gt;=COUNTIF($H$37:M$37,1),1,0),IF(16-$F50&lt;=M$42,1,0)))</f>
        <v>0</v>
      </c>
      <c r="N50" s="1">
        <f ca="1">IF(OR(N$37=0,$F50=0),0,IF($G50=1,IF($F50&gt;=COUNTIF($H$37:N$37,1),1,0),IF(16-$F50&lt;=N$42,1,0)))</f>
        <v>0</v>
      </c>
      <c r="O50" s="1">
        <f ca="1">IF(OR(O$37=0,$F50=0),0,IF($G50=1,IF($F50&gt;=COUNTIF($H$37:O$37,1),1,0),IF(16-$F50&lt;=O$42,1,0)))</f>
        <v>0</v>
      </c>
      <c r="P50" s="1">
        <f ca="1">IF(OR(P$37=0,$F50=0),0,IF($G50=1,IF($F50&gt;=COUNTIF($H$37:P$37,1),1,0),IF(16-$F50&lt;=P$42,1,0)))</f>
        <v>0</v>
      </c>
      <c r="Q50" s="1">
        <f ca="1">IF(OR(Q$37=0,$F50=0),0,IF($G50=1,IF($F50&gt;=COUNTIF($H$37:Q$37,1),1,0),IF(16-$F50&lt;=Q$42,1,0)))</f>
        <v>0</v>
      </c>
      <c r="R50" s="1">
        <f ca="1">IF(OR(R$37=0,$F50=0),0,IF($G50=1,IF($F50&gt;=COUNTIF($H$37:R$37,1),1,0),IF(16-$F50&lt;=R$42,1,0)))</f>
        <v>0</v>
      </c>
      <c r="S50" s="1">
        <f ca="1">IF(OR(S$37=0,$F50=0),0,IF($G50=1,IF($F50&gt;=COUNTIF($H$37:S$37,1),1,0),IF(16-$F50&lt;=S$42,1,0)))</f>
        <v>0</v>
      </c>
    </row>
    <row r="51" spans="2:20" x14ac:dyDescent="0.2">
      <c r="B51" s="46" t="s">
        <v>16</v>
      </c>
      <c r="C51" s="53">
        <f>概算シート!W14</f>
        <v>0</v>
      </c>
      <c r="E51" s="1">
        <f ca="1">税率!C21</f>
        <v>0</v>
      </c>
      <c r="F51" s="1">
        <f ca="1">IF(E51=1,VLOOKUP(C51,介護2号判定!$C$4:$G$29,5,TRUE),0)</f>
        <v>0</v>
      </c>
      <c r="G51" s="63">
        <f t="shared" si="11"/>
        <v>0</v>
      </c>
      <c r="H51" s="1">
        <f ca="1">IF(OR(H$37=0,$F51=0),0,IF($G51=1,IF($F51&gt;=COUNTIF($H$37:H$37,1),1,0),IF(16-$F51&lt;=H$42,1,0)))</f>
        <v>0</v>
      </c>
      <c r="I51" s="1">
        <f ca="1">IF(OR(I$37=0,$F51=0),0,IF($G51=1,IF($F51&gt;=COUNTIF($H$37:I$37,1),1,0),IF(16-$F51&lt;=I$42,1,0)))</f>
        <v>0</v>
      </c>
      <c r="J51" s="1">
        <f ca="1">IF(OR(J$37=0,$F51=0),0,IF($G51=1,IF($F51&gt;=COUNTIF($H$37:J$37,1),1,0),IF(16-$F51&lt;=J$42,1,0)))</f>
        <v>0</v>
      </c>
      <c r="K51" s="1">
        <f ca="1">IF(OR(K$37=0,$F51=0),0,IF($G51=1,IF($F51&gt;=COUNTIF($H$37:K$37,1),1,0),IF(16-$F51&lt;=K$42,1,0)))</f>
        <v>0</v>
      </c>
      <c r="L51" s="1">
        <f ca="1">IF(OR(L$37=0,$F51=0),0,IF($G51=1,IF($F51&gt;=COUNTIF($H$37:L$37,1),1,0),IF(16-$F51&lt;=L$42,1,0)))</f>
        <v>0</v>
      </c>
      <c r="M51" s="1">
        <f ca="1">IF(OR(M$37=0,$F51=0),0,IF($G51=1,IF($F51&gt;=COUNTIF($H$37:M$37,1),1,0),IF(16-$F51&lt;=M$42,1,0)))</f>
        <v>0</v>
      </c>
      <c r="N51" s="1">
        <f ca="1">IF(OR(N$37=0,$F51=0),0,IF($G51=1,IF($F51&gt;=COUNTIF($H$37:N$37,1),1,0),IF(16-$F51&lt;=N$42,1,0)))</f>
        <v>0</v>
      </c>
      <c r="O51" s="1">
        <f ca="1">IF(OR(O$37=0,$F51=0),0,IF($G51=1,IF($F51&gt;=COUNTIF($H$37:O$37,1),1,0),IF(16-$F51&lt;=O$42,1,0)))</f>
        <v>0</v>
      </c>
      <c r="P51" s="1">
        <f ca="1">IF(OR(P$37=0,$F51=0),0,IF($G51=1,IF($F51&gt;=COUNTIF($H$37:P$37,1),1,0),IF(16-$F51&lt;=P$42,1,0)))</f>
        <v>0</v>
      </c>
      <c r="Q51" s="1">
        <f ca="1">IF(OR(Q$37=0,$F51=0),0,IF($G51=1,IF($F51&gt;=COUNTIF($H$37:Q$37,1),1,0),IF(16-$F51&lt;=Q$42,1,0)))</f>
        <v>0</v>
      </c>
      <c r="R51" s="1">
        <f ca="1">IF(OR(R$37=0,$F51=0),0,IF($G51=1,IF($F51&gt;=COUNTIF($H$37:R$37,1),1,0),IF(16-$F51&lt;=R$42,1,0)))</f>
        <v>0</v>
      </c>
      <c r="S51" s="1">
        <f ca="1">IF(OR(S$37=0,$F51=0),0,IF($G51=1,IF($F51&gt;=COUNTIF($H$37:S$37,1),1,0),IF(16-$F51&lt;=S$42,1,0)))</f>
        <v>0</v>
      </c>
    </row>
    <row r="52" spans="2:20" x14ac:dyDescent="0.2">
      <c r="B52" s="46" t="s">
        <v>17</v>
      </c>
      <c r="C52" s="53">
        <f>概算シート!W15</f>
        <v>0</v>
      </c>
      <c r="E52" s="1">
        <f ca="1">税率!C22</f>
        <v>0</v>
      </c>
      <c r="F52" s="1">
        <f ca="1">IF(E52=1,VLOOKUP(C52,介護2号判定!$C$4:$G$29,5,TRUE),0)</f>
        <v>0</v>
      </c>
      <c r="G52" s="63">
        <f t="shared" si="11"/>
        <v>0</v>
      </c>
      <c r="H52" s="1">
        <f ca="1">IF(OR(H$37=0,$F52=0),0,IF($G52=1,IF($F52&gt;=COUNTIF($H$37:H$37,1),1,0),IF(16-$F52&lt;=H$42,1,0)))</f>
        <v>0</v>
      </c>
      <c r="I52" s="1">
        <f ca="1">IF(OR(I$37=0,$F52=0),0,IF($G52=1,IF($F52&gt;=COUNTIF($H$37:I$37,1),1,0),IF(16-$F52&lt;=I$42,1,0)))</f>
        <v>0</v>
      </c>
      <c r="J52" s="1">
        <f ca="1">IF(OR(J$37=0,$F52=0),0,IF($G52=1,IF($F52&gt;=COUNTIF($H$37:J$37,1),1,0),IF(16-$F52&lt;=J$42,1,0)))</f>
        <v>0</v>
      </c>
      <c r="K52" s="1">
        <f ca="1">IF(OR(K$37=0,$F52=0),0,IF($G52=1,IF($F52&gt;=COUNTIF($H$37:K$37,1),1,0),IF(16-$F52&lt;=K$42,1,0)))</f>
        <v>0</v>
      </c>
      <c r="L52" s="1">
        <f ca="1">IF(OR(L$37=0,$F52=0),0,IF($G52=1,IF($F52&gt;=COUNTIF($H$37:L$37,1),1,0),IF(16-$F52&lt;=L$42,1,0)))</f>
        <v>0</v>
      </c>
      <c r="M52" s="1">
        <f ca="1">IF(OR(M$37=0,$F52=0),0,IF($G52=1,IF($F52&gt;=COUNTIF($H$37:M$37,1),1,0),IF(16-$F52&lt;=M$42,1,0)))</f>
        <v>0</v>
      </c>
      <c r="N52" s="1">
        <f ca="1">IF(OR(N$37=0,$F52=0),0,IF($G52=1,IF($F52&gt;=COUNTIF($H$37:N$37,1),1,0),IF(16-$F52&lt;=N$42,1,0)))</f>
        <v>0</v>
      </c>
      <c r="O52" s="1">
        <f ca="1">IF(OR(O$37=0,$F52=0),0,IF($G52=1,IF($F52&gt;=COUNTIF($H$37:O$37,1),1,0),IF(16-$F52&lt;=O$42,1,0)))</f>
        <v>0</v>
      </c>
      <c r="P52" s="1">
        <f ca="1">IF(OR(P$37=0,$F52=0),0,IF($G52=1,IF($F52&gt;=COUNTIF($H$37:P$37,1),1,0),IF(16-$F52&lt;=P$42,1,0)))</f>
        <v>0</v>
      </c>
      <c r="Q52" s="1">
        <f ca="1">IF(OR(Q$37=0,$F52=0),0,IF($G52=1,IF($F52&gt;=COUNTIF($H$37:Q$37,1),1,0),IF(16-$F52&lt;=Q$42,1,0)))</f>
        <v>0</v>
      </c>
      <c r="R52" s="1">
        <f ca="1">IF(OR(R$37=0,$F52=0),0,IF($G52=1,IF($F52&gt;=COUNTIF($H$37:R$37,1),1,0),IF(16-$F52&lt;=R$42,1,0)))</f>
        <v>0</v>
      </c>
      <c r="S52" s="1">
        <f ca="1">IF(OR(S$37=0,$F52=0),0,IF($G52=1,IF($F52&gt;=COUNTIF($H$37:S$37,1),1,0),IF(16-$F52&lt;=S$42,1,0)))</f>
        <v>0</v>
      </c>
    </row>
    <row r="54" spans="2:20" x14ac:dyDescent="0.2">
      <c r="H54" s="191" t="s">
        <v>188</v>
      </c>
    </row>
    <row r="55" spans="2:20" x14ac:dyDescent="0.2">
      <c r="F55" s="1" t="s">
        <v>173</v>
      </c>
      <c r="G55" s="1" t="s">
        <v>174</v>
      </c>
      <c r="H55" s="154" t="s">
        <v>155</v>
      </c>
      <c r="I55" s="154" t="s">
        <v>156</v>
      </c>
      <c r="J55" s="154" t="s">
        <v>157</v>
      </c>
      <c r="K55" s="154" t="s">
        <v>158</v>
      </c>
      <c r="L55" s="154" t="s">
        <v>159</v>
      </c>
      <c r="M55" s="154" t="s">
        <v>160</v>
      </c>
      <c r="N55" s="154" t="s">
        <v>161</v>
      </c>
      <c r="O55" s="154" t="s">
        <v>162</v>
      </c>
      <c r="P55" s="154" t="s">
        <v>163</v>
      </c>
      <c r="Q55" s="154" t="s">
        <v>164</v>
      </c>
      <c r="R55" s="154" t="s">
        <v>165</v>
      </c>
      <c r="S55" s="154" t="s">
        <v>166</v>
      </c>
      <c r="T55" s="154" t="s">
        <v>193</v>
      </c>
    </row>
    <row r="56" spans="2:20" x14ac:dyDescent="0.2">
      <c r="E56" s="46" t="s">
        <v>45</v>
      </c>
      <c r="F56" s="1">
        <f ca="1">IF(AND(F43&gt;0,概算シート!L6&gt;税率!$H$2),概算シート!L6-税率!$H$2,0)</f>
        <v>0</v>
      </c>
      <c r="G56" s="1">
        <f ca="1">F56*税率!$D$3/12</f>
        <v>0</v>
      </c>
      <c r="H56" s="1">
        <f t="shared" ref="H56:S56" ca="1" si="12">IF(H43=0,0,$G56)</f>
        <v>0</v>
      </c>
      <c r="I56" s="1">
        <f t="shared" ca="1" si="12"/>
        <v>0</v>
      </c>
      <c r="J56" s="1">
        <f t="shared" ca="1" si="12"/>
        <v>0</v>
      </c>
      <c r="K56" s="1">
        <f t="shared" ca="1" si="12"/>
        <v>0</v>
      </c>
      <c r="L56" s="1">
        <f t="shared" ca="1" si="12"/>
        <v>0</v>
      </c>
      <c r="M56" s="1">
        <f t="shared" ca="1" si="12"/>
        <v>0</v>
      </c>
      <c r="N56" s="1">
        <f t="shared" ca="1" si="12"/>
        <v>0</v>
      </c>
      <c r="O56" s="1">
        <f t="shared" ca="1" si="12"/>
        <v>0</v>
      </c>
      <c r="P56" s="1">
        <f t="shared" ca="1" si="12"/>
        <v>0</v>
      </c>
      <c r="Q56" s="1">
        <f t="shared" ca="1" si="12"/>
        <v>0</v>
      </c>
      <c r="R56" s="1">
        <f t="shared" ca="1" si="12"/>
        <v>0</v>
      </c>
      <c r="S56" s="1">
        <f t="shared" ca="1" si="12"/>
        <v>0</v>
      </c>
      <c r="T56" s="315">
        <f ca="1">SUM(H56:S65)</f>
        <v>0</v>
      </c>
    </row>
    <row r="57" spans="2:20" x14ac:dyDescent="0.2">
      <c r="E57" s="46" t="s">
        <v>9</v>
      </c>
      <c r="F57" s="1">
        <f ca="1">IF(AND(F44&gt;0,概算シート!L7&gt;税率!$H$2),概算シート!L7-税率!$H$2,0)</f>
        <v>0</v>
      </c>
      <c r="G57" s="1">
        <f ca="1">F57*税率!$D$3/12</f>
        <v>0</v>
      </c>
      <c r="H57" s="1">
        <f t="shared" ref="H57:S57" ca="1" si="13">IF(H44=0,0,$G57)</f>
        <v>0</v>
      </c>
      <c r="I57" s="1">
        <f t="shared" ca="1" si="13"/>
        <v>0</v>
      </c>
      <c r="J57" s="1">
        <f t="shared" ca="1" si="13"/>
        <v>0</v>
      </c>
      <c r="K57" s="1">
        <f t="shared" ca="1" si="13"/>
        <v>0</v>
      </c>
      <c r="L57" s="1">
        <f t="shared" ca="1" si="13"/>
        <v>0</v>
      </c>
      <c r="M57" s="1">
        <f t="shared" ca="1" si="13"/>
        <v>0</v>
      </c>
      <c r="N57" s="1">
        <f t="shared" ca="1" si="13"/>
        <v>0</v>
      </c>
      <c r="O57" s="1">
        <f t="shared" ca="1" si="13"/>
        <v>0</v>
      </c>
      <c r="P57" s="1">
        <f t="shared" ca="1" si="13"/>
        <v>0</v>
      </c>
      <c r="Q57" s="1">
        <f t="shared" ca="1" si="13"/>
        <v>0</v>
      </c>
      <c r="R57" s="1">
        <f t="shared" ca="1" si="13"/>
        <v>0</v>
      </c>
      <c r="S57" s="1">
        <f t="shared" ca="1" si="13"/>
        <v>0</v>
      </c>
      <c r="T57" s="316"/>
    </row>
    <row r="58" spans="2:20" x14ac:dyDescent="0.2">
      <c r="E58" s="46" t="s">
        <v>10</v>
      </c>
      <c r="F58" s="1">
        <f ca="1">IF(AND(F45&gt;0,概算シート!L8&gt;税率!$H$2),概算シート!L8-税率!$H$2,0)</f>
        <v>0</v>
      </c>
      <c r="G58" s="1">
        <f ca="1">F58*税率!$D$3/12</f>
        <v>0</v>
      </c>
      <c r="H58" s="1">
        <f t="shared" ref="H58:S58" ca="1" si="14">IF(H45=0,0,$G58)</f>
        <v>0</v>
      </c>
      <c r="I58" s="1">
        <f t="shared" ca="1" si="14"/>
        <v>0</v>
      </c>
      <c r="J58" s="1">
        <f t="shared" ca="1" si="14"/>
        <v>0</v>
      </c>
      <c r="K58" s="1">
        <f t="shared" ca="1" si="14"/>
        <v>0</v>
      </c>
      <c r="L58" s="1">
        <f t="shared" ca="1" si="14"/>
        <v>0</v>
      </c>
      <c r="M58" s="1">
        <f t="shared" ca="1" si="14"/>
        <v>0</v>
      </c>
      <c r="N58" s="1">
        <f t="shared" ca="1" si="14"/>
        <v>0</v>
      </c>
      <c r="O58" s="1">
        <f t="shared" ca="1" si="14"/>
        <v>0</v>
      </c>
      <c r="P58" s="1">
        <f t="shared" ca="1" si="14"/>
        <v>0</v>
      </c>
      <c r="Q58" s="1">
        <f t="shared" ca="1" si="14"/>
        <v>0</v>
      </c>
      <c r="R58" s="1">
        <f t="shared" ca="1" si="14"/>
        <v>0</v>
      </c>
      <c r="S58" s="1">
        <f t="shared" ca="1" si="14"/>
        <v>0</v>
      </c>
      <c r="T58" s="316"/>
    </row>
    <row r="59" spans="2:20" x14ac:dyDescent="0.2">
      <c r="E59" s="46" t="s">
        <v>11</v>
      </c>
      <c r="F59" s="1">
        <f ca="1">IF(AND(F46&gt;0,概算シート!L9&gt;税率!$H$2),概算シート!L9-税率!$H$2,0)</f>
        <v>0</v>
      </c>
      <c r="G59" s="1">
        <f ca="1">F59*税率!$D$3/12</f>
        <v>0</v>
      </c>
      <c r="H59" s="1">
        <f t="shared" ref="H59:S59" ca="1" si="15">IF(H46=0,0,$G59)</f>
        <v>0</v>
      </c>
      <c r="I59" s="1">
        <f t="shared" ca="1" si="15"/>
        <v>0</v>
      </c>
      <c r="J59" s="1">
        <f t="shared" ca="1" si="15"/>
        <v>0</v>
      </c>
      <c r="K59" s="1">
        <f t="shared" ca="1" si="15"/>
        <v>0</v>
      </c>
      <c r="L59" s="1">
        <f t="shared" ca="1" si="15"/>
        <v>0</v>
      </c>
      <c r="M59" s="1">
        <f t="shared" ca="1" si="15"/>
        <v>0</v>
      </c>
      <c r="N59" s="1">
        <f t="shared" ca="1" si="15"/>
        <v>0</v>
      </c>
      <c r="O59" s="1">
        <f t="shared" ca="1" si="15"/>
        <v>0</v>
      </c>
      <c r="P59" s="1">
        <f t="shared" ca="1" si="15"/>
        <v>0</v>
      </c>
      <c r="Q59" s="1">
        <f t="shared" ca="1" si="15"/>
        <v>0</v>
      </c>
      <c r="R59" s="1">
        <f t="shared" ca="1" si="15"/>
        <v>0</v>
      </c>
      <c r="S59" s="1">
        <f t="shared" ca="1" si="15"/>
        <v>0</v>
      </c>
      <c r="T59" s="316"/>
    </row>
    <row r="60" spans="2:20" x14ac:dyDescent="0.2">
      <c r="E60" s="46" t="s">
        <v>12</v>
      </c>
      <c r="F60" s="1">
        <f ca="1">IF(AND(F47&gt;0,概算シート!L10&gt;税率!$H$2),概算シート!L10-税率!$H$2,0)</f>
        <v>0</v>
      </c>
      <c r="G60" s="1">
        <f ca="1">F60*税率!$D$3/12</f>
        <v>0</v>
      </c>
      <c r="H60" s="1">
        <f t="shared" ref="H60:S60" ca="1" si="16">IF(H47=0,0,$G60)</f>
        <v>0</v>
      </c>
      <c r="I60" s="1">
        <f t="shared" ca="1" si="16"/>
        <v>0</v>
      </c>
      <c r="J60" s="1">
        <f t="shared" ca="1" si="16"/>
        <v>0</v>
      </c>
      <c r="K60" s="1">
        <f t="shared" ca="1" si="16"/>
        <v>0</v>
      </c>
      <c r="L60" s="1">
        <f t="shared" ca="1" si="16"/>
        <v>0</v>
      </c>
      <c r="M60" s="1">
        <f t="shared" ca="1" si="16"/>
        <v>0</v>
      </c>
      <c r="N60" s="1">
        <f t="shared" ca="1" si="16"/>
        <v>0</v>
      </c>
      <c r="O60" s="1">
        <f t="shared" ca="1" si="16"/>
        <v>0</v>
      </c>
      <c r="P60" s="1">
        <f t="shared" ca="1" si="16"/>
        <v>0</v>
      </c>
      <c r="Q60" s="1">
        <f t="shared" ca="1" si="16"/>
        <v>0</v>
      </c>
      <c r="R60" s="1">
        <f t="shared" ca="1" si="16"/>
        <v>0</v>
      </c>
      <c r="S60" s="1">
        <f t="shared" ca="1" si="16"/>
        <v>0</v>
      </c>
      <c r="T60" s="316"/>
    </row>
    <row r="61" spans="2:20" x14ac:dyDescent="0.2">
      <c r="E61" s="46" t="s">
        <v>13</v>
      </c>
      <c r="F61" s="1">
        <f ca="1">IF(AND(F48&gt;0,概算シート!L11&gt;税率!$H$2),概算シート!L11-税率!$H$2,0)</f>
        <v>0</v>
      </c>
      <c r="G61" s="1">
        <f ca="1">F61*税率!$D$3/12</f>
        <v>0</v>
      </c>
      <c r="H61" s="1">
        <f t="shared" ref="H61:S61" ca="1" si="17">IF(H48=0,0,$G61)</f>
        <v>0</v>
      </c>
      <c r="I61" s="1">
        <f t="shared" ca="1" si="17"/>
        <v>0</v>
      </c>
      <c r="J61" s="1">
        <f t="shared" ca="1" si="17"/>
        <v>0</v>
      </c>
      <c r="K61" s="1">
        <f t="shared" ca="1" si="17"/>
        <v>0</v>
      </c>
      <c r="L61" s="1">
        <f t="shared" ca="1" si="17"/>
        <v>0</v>
      </c>
      <c r="M61" s="1">
        <f t="shared" ca="1" si="17"/>
        <v>0</v>
      </c>
      <c r="N61" s="1">
        <f t="shared" ca="1" si="17"/>
        <v>0</v>
      </c>
      <c r="O61" s="1">
        <f t="shared" ca="1" si="17"/>
        <v>0</v>
      </c>
      <c r="P61" s="1">
        <f t="shared" ca="1" si="17"/>
        <v>0</v>
      </c>
      <c r="Q61" s="1">
        <f t="shared" ca="1" si="17"/>
        <v>0</v>
      </c>
      <c r="R61" s="1">
        <f t="shared" ca="1" si="17"/>
        <v>0</v>
      </c>
      <c r="S61" s="1">
        <f t="shared" ca="1" si="17"/>
        <v>0</v>
      </c>
      <c r="T61" s="316"/>
    </row>
    <row r="62" spans="2:20" x14ac:dyDescent="0.2">
      <c r="E62" s="46" t="s">
        <v>14</v>
      </c>
      <c r="F62" s="1">
        <f ca="1">IF(AND(F49&gt;0,概算シート!L12&gt;税率!$H$2),概算シート!L12-税率!$H$2,0)</f>
        <v>0</v>
      </c>
      <c r="G62" s="1">
        <f ca="1">F62*税率!$D$3/12</f>
        <v>0</v>
      </c>
      <c r="H62" s="1">
        <f t="shared" ref="H62:S62" ca="1" si="18">IF(H49=0,0,$G62)</f>
        <v>0</v>
      </c>
      <c r="I62" s="1">
        <f t="shared" ca="1" si="18"/>
        <v>0</v>
      </c>
      <c r="J62" s="1">
        <f t="shared" ca="1" si="18"/>
        <v>0</v>
      </c>
      <c r="K62" s="1">
        <f t="shared" ca="1" si="18"/>
        <v>0</v>
      </c>
      <c r="L62" s="1">
        <f t="shared" ca="1" si="18"/>
        <v>0</v>
      </c>
      <c r="M62" s="1">
        <f t="shared" ca="1" si="18"/>
        <v>0</v>
      </c>
      <c r="N62" s="1">
        <f t="shared" ca="1" si="18"/>
        <v>0</v>
      </c>
      <c r="O62" s="1">
        <f t="shared" ca="1" si="18"/>
        <v>0</v>
      </c>
      <c r="P62" s="1">
        <f t="shared" ca="1" si="18"/>
        <v>0</v>
      </c>
      <c r="Q62" s="1">
        <f t="shared" ca="1" si="18"/>
        <v>0</v>
      </c>
      <c r="R62" s="1">
        <f t="shared" ca="1" si="18"/>
        <v>0</v>
      </c>
      <c r="S62" s="1">
        <f t="shared" ca="1" si="18"/>
        <v>0</v>
      </c>
      <c r="T62" s="316"/>
    </row>
    <row r="63" spans="2:20" x14ac:dyDescent="0.2">
      <c r="E63" s="46" t="s">
        <v>15</v>
      </c>
      <c r="F63" s="1">
        <f ca="1">IF(AND(F50&gt;0,概算シート!L13&gt;税率!$H$2),概算シート!L13-税率!$H$2,0)</f>
        <v>0</v>
      </c>
      <c r="G63" s="1">
        <f ca="1">F63*税率!$D$3/12</f>
        <v>0</v>
      </c>
      <c r="H63" s="1">
        <f t="shared" ref="H63:S63" ca="1" si="19">IF(H50=0,0,$G63)</f>
        <v>0</v>
      </c>
      <c r="I63" s="1">
        <f t="shared" ca="1" si="19"/>
        <v>0</v>
      </c>
      <c r="J63" s="1">
        <f t="shared" ca="1" si="19"/>
        <v>0</v>
      </c>
      <c r="K63" s="1">
        <f t="shared" ca="1" si="19"/>
        <v>0</v>
      </c>
      <c r="L63" s="1">
        <f t="shared" ca="1" si="19"/>
        <v>0</v>
      </c>
      <c r="M63" s="1">
        <f t="shared" ca="1" si="19"/>
        <v>0</v>
      </c>
      <c r="N63" s="1">
        <f t="shared" ca="1" si="19"/>
        <v>0</v>
      </c>
      <c r="O63" s="1">
        <f t="shared" ca="1" si="19"/>
        <v>0</v>
      </c>
      <c r="P63" s="1">
        <f t="shared" ca="1" si="19"/>
        <v>0</v>
      </c>
      <c r="Q63" s="1">
        <f t="shared" ca="1" si="19"/>
        <v>0</v>
      </c>
      <c r="R63" s="1">
        <f t="shared" ca="1" si="19"/>
        <v>0</v>
      </c>
      <c r="S63" s="1">
        <f t="shared" ca="1" si="19"/>
        <v>0</v>
      </c>
      <c r="T63" s="316"/>
    </row>
    <row r="64" spans="2:20" x14ac:dyDescent="0.2">
      <c r="E64" s="46" t="s">
        <v>16</v>
      </c>
      <c r="F64" s="1">
        <f ca="1">IF(AND(F51&gt;0,概算シート!L14&gt;税率!$H$2),概算シート!L14-税率!$H$2,0)</f>
        <v>0</v>
      </c>
      <c r="G64" s="1">
        <f ca="1">F64*税率!$D$3/12</f>
        <v>0</v>
      </c>
      <c r="H64" s="1">
        <f t="shared" ref="H64:S64" ca="1" si="20">IF(H51=0,0,$G64)</f>
        <v>0</v>
      </c>
      <c r="I64" s="1">
        <f t="shared" ca="1" si="20"/>
        <v>0</v>
      </c>
      <c r="J64" s="1">
        <f t="shared" ca="1" si="20"/>
        <v>0</v>
      </c>
      <c r="K64" s="1">
        <f t="shared" ca="1" si="20"/>
        <v>0</v>
      </c>
      <c r="L64" s="1">
        <f t="shared" ca="1" si="20"/>
        <v>0</v>
      </c>
      <c r="M64" s="1">
        <f t="shared" ca="1" si="20"/>
        <v>0</v>
      </c>
      <c r="N64" s="1">
        <f t="shared" ca="1" si="20"/>
        <v>0</v>
      </c>
      <c r="O64" s="1">
        <f t="shared" ca="1" si="20"/>
        <v>0</v>
      </c>
      <c r="P64" s="1">
        <f t="shared" ca="1" si="20"/>
        <v>0</v>
      </c>
      <c r="Q64" s="1">
        <f t="shared" ca="1" si="20"/>
        <v>0</v>
      </c>
      <c r="R64" s="1">
        <f t="shared" ca="1" si="20"/>
        <v>0</v>
      </c>
      <c r="S64" s="1">
        <f t="shared" ca="1" si="20"/>
        <v>0</v>
      </c>
      <c r="T64" s="316"/>
    </row>
    <row r="65" spans="5:20" x14ac:dyDescent="0.2">
      <c r="E65" s="46" t="s">
        <v>17</v>
      </c>
      <c r="F65" s="1">
        <f ca="1">IF(AND(F52&gt;0,概算シート!L15&gt;税率!$H$2),概算シート!L15-税率!$H$2,0)</f>
        <v>0</v>
      </c>
      <c r="G65" s="1">
        <f ca="1">F65*税率!$D$3/12</f>
        <v>0</v>
      </c>
      <c r="H65" s="1">
        <f t="shared" ref="H65:S65" ca="1" si="21">IF(H52=0,0,$G65)</f>
        <v>0</v>
      </c>
      <c r="I65" s="1">
        <f t="shared" ca="1" si="21"/>
        <v>0</v>
      </c>
      <c r="J65" s="1">
        <f t="shared" ca="1" si="21"/>
        <v>0</v>
      </c>
      <c r="K65" s="1">
        <f t="shared" ca="1" si="21"/>
        <v>0</v>
      </c>
      <c r="L65" s="1">
        <f t="shared" ca="1" si="21"/>
        <v>0</v>
      </c>
      <c r="M65" s="1">
        <f t="shared" ca="1" si="21"/>
        <v>0</v>
      </c>
      <c r="N65" s="1">
        <f t="shared" ca="1" si="21"/>
        <v>0</v>
      </c>
      <c r="O65" s="1">
        <f t="shared" ca="1" si="21"/>
        <v>0</v>
      </c>
      <c r="P65" s="1">
        <f t="shared" ca="1" si="21"/>
        <v>0</v>
      </c>
      <c r="Q65" s="1">
        <f t="shared" ca="1" si="21"/>
        <v>0</v>
      </c>
      <c r="R65" s="1">
        <f t="shared" ca="1" si="21"/>
        <v>0</v>
      </c>
      <c r="S65" s="1">
        <f t="shared" ca="1" si="21"/>
        <v>0</v>
      </c>
      <c r="T65" s="317"/>
    </row>
    <row r="68" spans="5:20" x14ac:dyDescent="0.2">
      <c r="G68" s="153"/>
      <c r="H68" s="154" t="s">
        <v>155</v>
      </c>
      <c r="I68" s="154" t="s">
        <v>156</v>
      </c>
      <c r="J68" s="154" t="s">
        <v>157</v>
      </c>
      <c r="K68" s="154" t="s">
        <v>158</v>
      </c>
      <c r="L68" s="154" t="s">
        <v>159</v>
      </c>
      <c r="M68" s="154" t="s">
        <v>160</v>
      </c>
      <c r="N68" s="154" t="s">
        <v>161</v>
      </c>
      <c r="O68" s="154" t="s">
        <v>162</v>
      </c>
      <c r="P68" s="154" t="s">
        <v>163</v>
      </c>
      <c r="Q68" s="154" t="s">
        <v>164</v>
      </c>
      <c r="R68" s="154" t="s">
        <v>165</v>
      </c>
      <c r="S68" s="154" t="s">
        <v>166</v>
      </c>
      <c r="T68" s="154" t="s">
        <v>20</v>
      </c>
    </row>
    <row r="69" spans="5:20" x14ac:dyDescent="0.2">
      <c r="E69" s="2"/>
      <c r="F69" s="2"/>
      <c r="G69" s="1" t="s">
        <v>189</v>
      </c>
      <c r="H69" s="1">
        <f ca="1">SUM(H43:H52)</f>
        <v>0</v>
      </c>
      <c r="I69" s="1">
        <f t="shared" ref="I69:S69" ca="1" si="22">SUM(I43:I52)</f>
        <v>0</v>
      </c>
      <c r="J69" s="1">
        <f t="shared" ca="1" si="22"/>
        <v>0</v>
      </c>
      <c r="K69" s="1">
        <f t="shared" ca="1" si="22"/>
        <v>0</v>
      </c>
      <c r="L69" s="1">
        <f t="shared" ca="1" si="22"/>
        <v>0</v>
      </c>
      <c r="M69" s="1">
        <f t="shared" ca="1" si="22"/>
        <v>0</v>
      </c>
      <c r="N69" s="1">
        <f t="shared" ca="1" si="22"/>
        <v>0</v>
      </c>
      <c r="O69" s="1">
        <f t="shared" ca="1" si="22"/>
        <v>0</v>
      </c>
      <c r="P69" s="1">
        <f t="shared" ca="1" si="22"/>
        <v>0</v>
      </c>
      <c r="Q69" s="1">
        <f t="shared" ca="1" si="22"/>
        <v>0</v>
      </c>
      <c r="R69" s="1">
        <f t="shared" ca="1" si="22"/>
        <v>0</v>
      </c>
      <c r="S69" s="1">
        <f t="shared" ca="1" si="22"/>
        <v>0</v>
      </c>
      <c r="T69" s="183" t="s">
        <v>194</v>
      </c>
    </row>
    <row r="70" spans="5:20" x14ac:dyDescent="0.2">
      <c r="E70" s="2"/>
      <c r="F70" s="2"/>
      <c r="G70" s="192" t="s">
        <v>190</v>
      </c>
      <c r="H70" s="1">
        <f t="shared" ref="H70:S70" ca="1" si="23">$C$35*H69</f>
        <v>0</v>
      </c>
      <c r="I70" s="1">
        <f t="shared" ca="1" si="23"/>
        <v>0</v>
      </c>
      <c r="J70" s="1">
        <f t="shared" ca="1" si="23"/>
        <v>0</v>
      </c>
      <c r="K70" s="1">
        <f t="shared" ca="1" si="23"/>
        <v>0</v>
      </c>
      <c r="L70" s="1">
        <f t="shared" ca="1" si="23"/>
        <v>0</v>
      </c>
      <c r="M70" s="1">
        <f t="shared" ca="1" si="23"/>
        <v>0</v>
      </c>
      <c r="N70" s="1">
        <f t="shared" ca="1" si="23"/>
        <v>0</v>
      </c>
      <c r="O70" s="1">
        <f t="shared" ca="1" si="23"/>
        <v>0</v>
      </c>
      <c r="P70" s="1">
        <f t="shared" ca="1" si="23"/>
        <v>0</v>
      </c>
      <c r="Q70" s="1">
        <f t="shared" ca="1" si="23"/>
        <v>0</v>
      </c>
      <c r="R70" s="1">
        <f t="shared" ca="1" si="23"/>
        <v>0</v>
      </c>
      <c r="S70" s="1">
        <f t="shared" ca="1" si="23"/>
        <v>0</v>
      </c>
      <c r="T70" s="218">
        <f ca="1">SUM(H70:S70)</f>
        <v>0</v>
      </c>
    </row>
    <row r="71" spans="5:20" x14ac:dyDescent="0.2">
      <c r="E71" s="2"/>
      <c r="F71" s="2"/>
      <c r="G71" s="192" t="s">
        <v>191</v>
      </c>
      <c r="H71" s="1">
        <f t="shared" ref="H71:S71" ca="1" si="24">IF(H69&gt;0,$C$36,0)</f>
        <v>0</v>
      </c>
      <c r="I71" s="1">
        <f t="shared" ca="1" si="24"/>
        <v>0</v>
      </c>
      <c r="J71" s="1">
        <f t="shared" ca="1" si="24"/>
        <v>0</v>
      </c>
      <c r="K71" s="1">
        <f t="shared" ca="1" si="24"/>
        <v>0</v>
      </c>
      <c r="L71" s="1">
        <f t="shared" ca="1" si="24"/>
        <v>0</v>
      </c>
      <c r="M71" s="1">
        <f t="shared" ca="1" si="24"/>
        <v>0</v>
      </c>
      <c r="N71" s="1">
        <f t="shared" ca="1" si="24"/>
        <v>0</v>
      </c>
      <c r="O71" s="1">
        <f t="shared" ca="1" si="24"/>
        <v>0</v>
      </c>
      <c r="P71" s="1">
        <f t="shared" ca="1" si="24"/>
        <v>0</v>
      </c>
      <c r="Q71" s="1">
        <f t="shared" ca="1" si="24"/>
        <v>0</v>
      </c>
      <c r="R71" s="1">
        <f t="shared" ca="1" si="24"/>
        <v>0</v>
      </c>
      <c r="S71" s="1">
        <f t="shared" ca="1" si="24"/>
        <v>0</v>
      </c>
      <c r="T71" s="218">
        <f ca="1">SUM(H71:S71)</f>
        <v>0</v>
      </c>
    </row>
    <row r="74" spans="5:20" x14ac:dyDescent="0.2">
      <c r="G74" s="153"/>
      <c r="H74" s="154" t="s">
        <v>155</v>
      </c>
      <c r="I74" s="154" t="s">
        <v>156</v>
      </c>
      <c r="J74" s="154" t="s">
        <v>157</v>
      </c>
      <c r="K74" s="154" t="s">
        <v>158</v>
      </c>
      <c r="L74" s="154" t="s">
        <v>159</v>
      </c>
      <c r="M74" s="154" t="s">
        <v>160</v>
      </c>
      <c r="N74" s="154" t="s">
        <v>161</v>
      </c>
      <c r="O74" s="154" t="s">
        <v>162</v>
      </c>
      <c r="P74" s="154" t="s">
        <v>163</v>
      </c>
      <c r="Q74" s="154" t="s">
        <v>164</v>
      </c>
      <c r="R74" s="154" t="s">
        <v>165</v>
      </c>
      <c r="S74" s="154" t="s">
        <v>166</v>
      </c>
      <c r="T74" s="154" t="s">
        <v>20</v>
      </c>
    </row>
    <row r="75" spans="5:20" x14ac:dyDescent="0.2">
      <c r="G75" s="1" t="s">
        <v>195</v>
      </c>
      <c r="H75" s="1">
        <f t="shared" ref="H75:S75" ca="1" si="25">H70*$C$37</f>
        <v>0</v>
      </c>
      <c r="I75" s="1">
        <f t="shared" ca="1" si="25"/>
        <v>0</v>
      </c>
      <c r="J75" s="1">
        <f t="shared" ca="1" si="25"/>
        <v>0</v>
      </c>
      <c r="K75" s="1">
        <f t="shared" ca="1" si="25"/>
        <v>0</v>
      </c>
      <c r="L75" s="1">
        <f t="shared" ca="1" si="25"/>
        <v>0</v>
      </c>
      <c r="M75" s="1">
        <f t="shared" ca="1" si="25"/>
        <v>0</v>
      </c>
      <c r="N75" s="1">
        <f t="shared" ca="1" si="25"/>
        <v>0</v>
      </c>
      <c r="O75" s="1">
        <f t="shared" ca="1" si="25"/>
        <v>0</v>
      </c>
      <c r="P75" s="1">
        <f t="shared" ca="1" si="25"/>
        <v>0</v>
      </c>
      <c r="Q75" s="1">
        <f t="shared" ca="1" si="25"/>
        <v>0</v>
      </c>
      <c r="R75" s="1">
        <f t="shared" ca="1" si="25"/>
        <v>0</v>
      </c>
      <c r="S75" s="1">
        <f t="shared" ca="1" si="25"/>
        <v>0</v>
      </c>
      <c r="T75" s="218">
        <f t="shared" ref="T75:T76" ca="1" si="26">SUM(H75:S75)</f>
        <v>0</v>
      </c>
    </row>
    <row r="76" spans="5:20" x14ac:dyDescent="0.2">
      <c r="G76" s="1" t="s">
        <v>196</v>
      </c>
      <c r="H76" s="1">
        <f t="shared" ref="H76:S76" ca="1" si="27">H71*$C$37</f>
        <v>0</v>
      </c>
      <c r="I76" s="1">
        <f t="shared" ca="1" si="27"/>
        <v>0</v>
      </c>
      <c r="J76" s="1">
        <f t="shared" ca="1" si="27"/>
        <v>0</v>
      </c>
      <c r="K76" s="1">
        <f t="shared" ca="1" si="27"/>
        <v>0</v>
      </c>
      <c r="L76" s="1">
        <f t="shared" ca="1" si="27"/>
        <v>0</v>
      </c>
      <c r="M76" s="1">
        <f t="shared" ca="1" si="27"/>
        <v>0</v>
      </c>
      <c r="N76" s="1">
        <f t="shared" ca="1" si="27"/>
        <v>0</v>
      </c>
      <c r="O76" s="1">
        <f t="shared" ca="1" si="27"/>
        <v>0</v>
      </c>
      <c r="P76" s="1">
        <f t="shared" ca="1" si="27"/>
        <v>0</v>
      </c>
      <c r="Q76" s="1">
        <f t="shared" ca="1" si="27"/>
        <v>0</v>
      </c>
      <c r="R76" s="1">
        <f t="shared" ca="1" si="27"/>
        <v>0</v>
      </c>
      <c r="S76" s="1">
        <f t="shared" ca="1" si="27"/>
        <v>0</v>
      </c>
      <c r="T76" s="218">
        <f t="shared" ca="1" si="26"/>
        <v>0</v>
      </c>
    </row>
    <row r="80" spans="5:20" x14ac:dyDescent="0.2">
      <c r="H80" t="s">
        <v>175</v>
      </c>
    </row>
    <row r="81" spans="6:20" x14ac:dyDescent="0.2">
      <c r="G81" s="1"/>
      <c r="H81" s="154" t="s">
        <v>155</v>
      </c>
      <c r="I81" s="154" t="s">
        <v>156</v>
      </c>
      <c r="J81" s="154" t="s">
        <v>157</v>
      </c>
      <c r="K81" s="154" t="s">
        <v>158</v>
      </c>
      <c r="L81" s="154" t="s">
        <v>159</v>
      </c>
      <c r="M81" s="154" t="s">
        <v>160</v>
      </c>
      <c r="N81" s="154" t="s">
        <v>161</v>
      </c>
      <c r="O81" s="154" t="s">
        <v>162</v>
      </c>
      <c r="P81" s="154" t="s">
        <v>163</v>
      </c>
      <c r="Q81" s="154" t="s">
        <v>164</v>
      </c>
      <c r="R81" s="154" t="s">
        <v>165</v>
      </c>
      <c r="S81" s="154" t="s">
        <v>166</v>
      </c>
      <c r="T81" s="154" t="s">
        <v>178</v>
      </c>
    </row>
    <row r="82" spans="6:20" x14ac:dyDescent="0.2">
      <c r="F82" t="s">
        <v>197</v>
      </c>
      <c r="G82" s="1" t="s">
        <v>199</v>
      </c>
      <c r="H82" s="1">
        <f ca="1">SUM(H56:H65,H70:H71)</f>
        <v>0</v>
      </c>
      <c r="I82" s="1">
        <f t="shared" ref="I82:S82" ca="1" si="28">SUM(I56:I65,I70:I71)</f>
        <v>0</v>
      </c>
      <c r="J82" s="1">
        <f t="shared" ca="1" si="28"/>
        <v>0</v>
      </c>
      <c r="K82" s="1">
        <f t="shared" ca="1" si="28"/>
        <v>0</v>
      </c>
      <c r="L82" s="1">
        <f t="shared" ca="1" si="28"/>
        <v>0</v>
      </c>
      <c r="M82" s="1">
        <f t="shared" ca="1" si="28"/>
        <v>0</v>
      </c>
      <c r="N82" s="1">
        <f t="shared" ca="1" si="28"/>
        <v>0</v>
      </c>
      <c r="O82" s="1">
        <f t="shared" ca="1" si="28"/>
        <v>0</v>
      </c>
      <c r="P82" s="1">
        <f t="shared" ca="1" si="28"/>
        <v>0</v>
      </c>
      <c r="Q82" s="1">
        <f t="shared" ca="1" si="28"/>
        <v>0</v>
      </c>
      <c r="R82" s="1">
        <f t="shared" ca="1" si="28"/>
        <v>0</v>
      </c>
      <c r="S82" s="1">
        <f t="shared" ca="1" si="28"/>
        <v>0</v>
      </c>
      <c r="T82" s="1">
        <f ca="1">SUM(H82:S82)</f>
        <v>0</v>
      </c>
    </row>
    <row r="83" spans="6:20" x14ac:dyDescent="0.2">
      <c r="F83" t="s">
        <v>198</v>
      </c>
      <c r="G83" s="1" t="s">
        <v>200</v>
      </c>
      <c r="H83" s="1">
        <f ca="1">SUM(H75:H76)</f>
        <v>0</v>
      </c>
      <c r="I83" s="1">
        <f t="shared" ref="I83:S83" ca="1" si="29">SUM(I75:I76)</f>
        <v>0</v>
      </c>
      <c r="J83" s="1">
        <f t="shared" ca="1" si="29"/>
        <v>0</v>
      </c>
      <c r="K83" s="1">
        <f t="shared" ca="1" si="29"/>
        <v>0</v>
      </c>
      <c r="L83" s="1">
        <f t="shared" ca="1" si="29"/>
        <v>0</v>
      </c>
      <c r="M83" s="1">
        <f t="shared" ca="1" si="29"/>
        <v>0</v>
      </c>
      <c r="N83" s="1">
        <f t="shared" ca="1" si="29"/>
        <v>0</v>
      </c>
      <c r="O83" s="1">
        <f t="shared" ca="1" si="29"/>
        <v>0</v>
      </c>
      <c r="P83" s="1">
        <f t="shared" ca="1" si="29"/>
        <v>0</v>
      </c>
      <c r="Q83" s="1">
        <f t="shared" ca="1" si="29"/>
        <v>0</v>
      </c>
      <c r="R83" s="1">
        <f t="shared" ca="1" si="29"/>
        <v>0</v>
      </c>
      <c r="S83" s="1">
        <f t="shared" ca="1" si="29"/>
        <v>0</v>
      </c>
      <c r="T83" s="1">
        <f ca="1">SUM(H83:S83)</f>
        <v>0</v>
      </c>
    </row>
    <row r="84" spans="6:20" x14ac:dyDescent="0.2">
      <c r="F84" t="s">
        <v>201</v>
      </c>
      <c r="G84" s="1" t="s">
        <v>182</v>
      </c>
      <c r="H84" s="1">
        <f ca="1">H82-H83</f>
        <v>0</v>
      </c>
      <c r="I84" s="1">
        <f t="shared" ref="I84:S84" ca="1" si="30">I82-I83</f>
        <v>0</v>
      </c>
      <c r="J84" s="1">
        <f t="shared" ca="1" si="30"/>
        <v>0</v>
      </c>
      <c r="K84" s="1">
        <f t="shared" ca="1" si="30"/>
        <v>0</v>
      </c>
      <c r="L84" s="1">
        <f t="shared" ca="1" si="30"/>
        <v>0</v>
      </c>
      <c r="M84" s="1">
        <f t="shared" ca="1" si="30"/>
        <v>0</v>
      </c>
      <c r="N84" s="1">
        <f t="shared" ca="1" si="30"/>
        <v>0</v>
      </c>
      <c r="O84" s="1">
        <f t="shared" ca="1" si="30"/>
        <v>0</v>
      </c>
      <c r="P84" s="1">
        <f t="shared" ca="1" si="30"/>
        <v>0</v>
      </c>
      <c r="Q84" s="1">
        <f t="shared" ca="1" si="30"/>
        <v>0</v>
      </c>
      <c r="R84" s="1">
        <f t="shared" ca="1" si="30"/>
        <v>0</v>
      </c>
      <c r="S84" s="1">
        <f t="shared" ca="1" si="30"/>
        <v>0</v>
      </c>
      <c r="T84" s="1">
        <f ca="1">SUM(H84:S84)</f>
        <v>0</v>
      </c>
    </row>
    <row r="85" spans="6:20" ht="13.85" thickBot="1" x14ac:dyDescent="0.25">
      <c r="G85" s="1" t="s">
        <v>176</v>
      </c>
      <c r="H85" s="1">
        <f>税率!$D$6/12</f>
        <v>14166.666666666666</v>
      </c>
      <c r="I85" s="1">
        <f>税率!$D$6/12</f>
        <v>14166.666666666666</v>
      </c>
      <c r="J85" s="1">
        <f>税率!$D$6/12</f>
        <v>14166.666666666666</v>
      </c>
      <c r="K85" s="1">
        <f>税率!$D$6/12</f>
        <v>14166.666666666666</v>
      </c>
      <c r="L85" s="1">
        <f>税率!$D$6/12</f>
        <v>14166.666666666666</v>
      </c>
      <c r="M85" s="1">
        <f>税率!$D$6/12</f>
        <v>14166.666666666666</v>
      </c>
      <c r="N85" s="1">
        <f>税率!$D$6/12</f>
        <v>14166.666666666666</v>
      </c>
      <c r="O85" s="1">
        <f>税率!$D$6/12</f>
        <v>14166.666666666666</v>
      </c>
      <c r="P85" s="1">
        <f>税率!$D$6/12</f>
        <v>14166.666666666666</v>
      </c>
      <c r="Q85" s="1">
        <f>税率!$D$6/12</f>
        <v>14166.666666666666</v>
      </c>
      <c r="R85" s="1">
        <f>税率!$D$6/12</f>
        <v>14166.666666666666</v>
      </c>
      <c r="S85" s="1">
        <f>税率!$D$6/12</f>
        <v>14166.666666666666</v>
      </c>
      <c r="T85" s="184">
        <f>ROUND(SUM(H85:S85),0)</f>
        <v>170000</v>
      </c>
    </row>
    <row r="86" spans="6:20" ht="13.85" thickBot="1" x14ac:dyDescent="0.25">
      <c r="G86" s="1" t="s">
        <v>177</v>
      </c>
      <c r="H86" s="1">
        <f ca="1">MIN(H84:H85)</f>
        <v>0</v>
      </c>
      <c r="I86" s="1">
        <f t="shared" ref="I86:S86" ca="1" si="31">MIN(I84:I85)</f>
        <v>0</v>
      </c>
      <c r="J86" s="1">
        <f t="shared" ca="1" si="31"/>
        <v>0</v>
      </c>
      <c r="K86" s="1">
        <f t="shared" ca="1" si="31"/>
        <v>0</v>
      </c>
      <c r="L86" s="1">
        <f t="shared" ca="1" si="31"/>
        <v>0</v>
      </c>
      <c r="M86" s="1">
        <f t="shared" ca="1" si="31"/>
        <v>0</v>
      </c>
      <c r="N86" s="1">
        <f t="shared" ca="1" si="31"/>
        <v>0</v>
      </c>
      <c r="O86" s="1">
        <f t="shared" ca="1" si="31"/>
        <v>0</v>
      </c>
      <c r="P86" s="1">
        <f t="shared" ca="1" si="31"/>
        <v>0</v>
      </c>
      <c r="Q86" s="1">
        <f t="shared" ca="1" si="31"/>
        <v>0</v>
      </c>
      <c r="R86" s="1">
        <f t="shared" ca="1" si="31"/>
        <v>0</v>
      </c>
      <c r="S86" s="63">
        <f t="shared" ca="1" si="31"/>
        <v>0</v>
      </c>
      <c r="T86" s="215">
        <f ca="1">ROUND(SUM(H86:S86),0)</f>
        <v>0</v>
      </c>
    </row>
    <row r="87" spans="6:20" x14ac:dyDescent="0.2">
      <c r="G87" s="5" t="s">
        <v>179</v>
      </c>
      <c r="H87" s="1">
        <f ca="1">H84-H86</f>
        <v>0</v>
      </c>
      <c r="I87" s="1">
        <f t="shared" ref="I87:S87" ca="1" si="32">I84-I86</f>
        <v>0</v>
      </c>
      <c r="J87" s="1">
        <f t="shared" ca="1" si="32"/>
        <v>0</v>
      </c>
      <c r="K87" s="1">
        <f t="shared" ca="1" si="32"/>
        <v>0</v>
      </c>
      <c r="L87" s="1">
        <f t="shared" ca="1" si="32"/>
        <v>0</v>
      </c>
      <c r="M87" s="1">
        <f t="shared" ca="1" si="32"/>
        <v>0</v>
      </c>
      <c r="N87" s="1">
        <f t="shared" ca="1" si="32"/>
        <v>0</v>
      </c>
      <c r="O87" s="1">
        <f t="shared" ca="1" si="32"/>
        <v>0</v>
      </c>
      <c r="P87" s="1">
        <f t="shared" ca="1" si="32"/>
        <v>0</v>
      </c>
      <c r="Q87" s="1">
        <f t="shared" ca="1" si="32"/>
        <v>0</v>
      </c>
      <c r="R87" s="1">
        <f t="shared" ca="1" si="32"/>
        <v>0</v>
      </c>
      <c r="S87" s="1">
        <f t="shared" ca="1" si="32"/>
        <v>0</v>
      </c>
      <c r="T87" s="185">
        <f ca="1">ROUND(SUM(H87:S87),0)</f>
        <v>0</v>
      </c>
    </row>
    <row r="88" spans="6:20" x14ac:dyDescent="0.2">
      <c r="G88" s="50"/>
    </row>
  </sheetData>
  <mergeCells count="3">
    <mergeCell ref="A17:A28"/>
    <mergeCell ref="A5:A16"/>
    <mergeCell ref="T56:T65"/>
  </mergeCells>
  <phoneticPr fontId="1"/>
  <conditionalFormatting sqref="H43:S52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概算シート</vt:lpstr>
      <vt:lpstr>税率</vt:lpstr>
      <vt:lpstr>軽減説明</vt:lpstr>
      <vt:lpstr>給与年金(基礎)</vt:lpstr>
      <vt:lpstr>給与年金 (軽減)</vt:lpstr>
      <vt:lpstr>介護2号判定</vt:lpstr>
      <vt:lpstr>概算シート!Print_Area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森　佑海</cp:lastModifiedBy>
  <cp:lastPrinted>2024-08-05T02:31:15Z</cp:lastPrinted>
  <dcterms:created xsi:type="dcterms:W3CDTF">2022-09-09T05:35:40Z</dcterms:created>
  <dcterms:modified xsi:type="dcterms:W3CDTF">2026-03-18T23:54:38Z</dcterms:modified>
</cp:coreProperties>
</file>